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K:\日本博事務局\39_効果測定／検証\R4年度\07_シンポジウム\経済波及効果推計シンポジウム\"/>
    </mc:Choice>
  </mc:AlternateContent>
  <xr:revisionPtr revIDLastSave="0" documentId="13_ncr:1_{AFF5D472-6CAC-4332-9D29-610C8B925A5E}" xr6:coauthVersionLast="47" xr6:coauthVersionMax="47" xr10:uidLastSave="{00000000-0000-0000-0000-000000000000}"/>
  <bookViews>
    <workbookView xWindow="-120" yWindow="-16320" windowWidth="29040" windowHeight="15840" tabRatio="917" xr2:uid="{C11EB17B-E7D7-4CC0-A0D9-D6FFD0ADE78A}"/>
  </bookViews>
  <sheets>
    <sheet name="0_経済波及効果算出ツールの使い方・留意点" sheetId="30" r:id="rId1"/>
    <sheet name="1_採択区分・推計パターン選択" sheetId="15" r:id="rId2"/>
    <sheet name="2_主催・共催型" sheetId="22" r:id="rId3"/>
    <sheet name="2_イノベーション型" sheetId="23" r:id="rId4"/>
    <sheet name="2_文化資源" sheetId="24" r:id="rId5"/>
    <sheet name="2_国際フェスティバル" sheetId="25" r:id="rId6"/>
    <sheet name="2_地域ゆかり" sheetId="26" r:id="rId7"/>
    <sheet name="3_パターン①" sheetId="5" r:id="rId8"/>
    <sheet name="3_パターン②" sheetId="12" r:id="rId9"/>
    <sheet name="3_パターン③" sheetId="13" r:id="rId10"/>
    <sheet name="4_推計結果" sheetId="8" r:id="rId11"/>
    <sheet name="（計算用1）" sheetId="14" state="hidden" r:id="rId12"/>
    <sheet name="（計算用2）" sheetId="27" state="hidden" r:id="rId13"/>
    <sheet name="（リスト用）" sheetId="11" state="hidden" r:id="rId14"/>
    <sheet name="（入込数）" sheetId="20" state="hidden" r:id="rId15"/>
    <sheet name="（消費内訳）" sheetId="21" state="hidden" r:id="rId16"/>
    <sheet name="（逆行列関数表）" sheetId="28" state="hidden" r:id="rId17"/>
    <sheet name="（取引基本表）" sheetId="29" state="hidden" r:id="rId18"/>
  </sheets>
  <definedNames>
    <definedName name="_xlnm._FilterDatabase" localSheetId="14" hidden="1">'（入込数）'!$B$5:$J$52</definedName>
    <definedName name="_xlnm.Print_Area" localSheetId="15">'（消費内訳）'!$B$2:$J$60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5" l="1"/>
  <c r="I21" i="5" l="1"/>
  <c r="K21" i="5" s="1"/>
  <c r="I20" i="5"/>
  <c r="K20" i="5" s="1"/>
  <c r="I19" i="5"/>
  <c r="K19" i="5" s="1"/>
  <c r="I18" i="5"/>
  <c r="K18" i="5" s="1"/>
  <c r="I17" i="5"/>
  <c r="K17" i="5" s="1"/>
  <c r="G22" i="12"/>
  <c r="B46" i="8"/>
  <c r="B45" i="8"/>
  <c r="B44" i="8"/>
  <c r="B43" i="8"/>
  <c r="B42" i="8"/>
  <c r="B41" i="8"/>
  <c r="B40" i="8"/>
  <c r="B39" i="8"/>
  <c r="B38" i="8"/>
  <c r="B37" i="8"/>
  <c r="B36" i="8"/>
  <c r="B35" i="8"/>
  <c r="B34" i="8"/>
  <c r="B33" i="8"/>
  <c r="B32" i="8"/>
  <c r="B31" i="8"/>
  <c r="B30" i="8"/>
  <c r="B29" i="8"/>
  <c r="B28" i="8"/>
  <c r="B27" i="8"/>
  <c r="B26" i="8"/>
  <c r="B25" i="8"/>
  <c r="B24" i="8"/>
  <c r="B23" i="8"/>
  <c r="B22" i="8"/>
  <c r="B21" i="8"/>
  <c r="B20" i="8"/>
  <c r="B19" i="8"/>
  <c r="B18" i="8"/>
  <c r="B17" i="8"/>
  <c r="B16" i="8"/>
  <c r="B15" i="8"/>
  <c r="B14" i="8"/>
  <c r="B13" i="8"/>
  <c r="B12" i="8"/>
  <c r="B11" i="8"/>
  <c r="B10" i="8"/>
  <c r="I21" i="12" l="1"/>
  <c r="K21" i="12" s="1"/>
  <c r="I17" i="12"/>
  <c r="K17" i="12" s="1"/>
  <c r="I18" i="12"/>
  <c r="K18" i="12" s="1"/>
  <c r="I19" i="12"/>
  <c r="K19" i="12" s="1"/>
  <c r="I20" i="12"/>
  <c r="K20" i="12" s="1"/>
  <c r="E6" i="27" l="1"/>
  <c r="P41" i="27" l="1"/>
  <c r="P40" i="27"/>
  <c r="P37" i="27"/>
  <c r="P36" i="27"/>
  <c r="P33" i="27"/>
  <c r="P32" i="27"/>
  <c r="P29" i="27"/>
  <c r="P28" i="27"/>
  <c r="P25" i="27"/>
  <c r="P24" i="27"/>
  <c r="P21" i="27"/>
  <c r="P20" i="27"/>
  <c r="P17" i="27"/>
  <c r="P16" i="27"/>
  <c r="P13" i="27"/>
  <c r="P12" i="27"/>
  <c r="P9" i="27"/>
  <c r="P8" i="27"/>
  <c r="AM51" i="29"/>
  <c r="AL51" i="29"/>
  <c r="AK51" i="29"/>
  <c r="AJ51" i="29"/>
  <c r="AI51" i="29"/>
  <c r="AH51" i="29"/>
  <c r="AG51" i="29"/>
  <c r="AF51" i="29"/>
  <c r="AE51" i="29"/>
  <c r="AD51" i="29"/>
  <c r="AC51" i="29"/>
  <c r="AB51" i="29"/>
  <c r="AA51" i="29"/>
  <c r="Z51" i="29"/>
  <c r="Y51" i="29"/>
  <c r="X51" i="29"/>
  <c r="W51" i="29"/>
  <c r="V51" i="29"/>
  <c r="U51" i="29"/>
  <c r="T51" i="29"/>
  <c r="S51" i="29"/>
  <c r="R51" i="29"/>
  <c r="Q51" i="29"/>
  <c r="P51" i="29"/>
  <c r="O51" i="29"/>
  <c r="N51" i="29"/>
  <c r="M51" i="29"/>
  <c r="L51" i="29"/>
  <c r="K51" i="29"/>
  <c r="J51" i="29"/>
  <c r="I51" i="29"/>
  <c r="H51" i="29"/>
  <c r="G51" i="29"/>
  <c r="F51" i="29"/>
  <c r="E51" i="29"/>
  <c r="D51" i="29"/>
  <c r="C51" i="29"/>
  <c r="Z6" i="27" s="1" a="1"/>
  <c r="Z13" i="27" s="1"/>
  <c r="BH41" i="29"/>
  <c r="BH40" i="29"/>
  <c r="P42" i="27" s="1"/>
  <c r="BH39" i="29"/>
  <c r="BH38" i="29"/>
  <c r="BH37" i="29"/>
  <c r="P39" i="27" s="1"/>
  <c r="BH36" i="29"/>
  <c r="P38" i="27" s="1"/>
  <c r="BH35" i="29"/>
  <c r="BH34" i="29"/>
  <c r="BH33" i="29"/>
  <c r="P35" i="27" s="1"/>
  <c r="BH32" i="29"/>
  <c r="P34" i="27" s="1"/>
  <c r="BH31" i="29"/>
  <c r="BH30" i="29"/>
  <c r="BH29" i="29"/>
  <c r="P31" i="27" s="1"/>
  <c r="BH28" i="29"/>
  <c r="P30" i="27" s="1"/>
  <c r="BH27" i="29"/>
  <c r="BH26" i="29"/>
  <c r="BH25" i="29"/>
  <c r="P27" i="27" s="1"/>
  <c r="BH24" i="29"/>
  <c r="P26" i="27" s="1"/>
  <c r="BH23" i="29"/>
  <c r="BH22" i="29"/>
  <c r="BH21" i="29"/>
  <c r="P23" i="27" s="1"/>
  <c r="BH20" i="29"/>
  <c r="P22" i="27" s="1"/>
  <c r="BH19" i="29"/>
  <c r="BH18" i="29"/>
  <c r="BH17" i="29"/>
  <c r="P19" i="27" s="1"/>
  <c r="BH16" i="29"/>
  <c r="P18" i="27" s="1"/>
  <c r="BH15" i="29"/>
  <c r="BH14" i="29"/>
  <c r="BH13" i="29"/>
  <c r="P15" i="27" s="1"/>
  <c r="BH12" i="29"/>
  <c r="P14" i="27" s="1"/>
  <c r="BH11" i="29"/>
  <c r="BH10" i="29"/>
  <c r="BH9" i="29"/>
  <c r="P11" i="27" s="1"/>
  <c r="BH8" i="29"/>
  <c r="P10" i="27" s="1"/>
  <c r="BH7" i="29"/>
  <c r="BH6" i="29"/>
  <c r="BH5" i="29"/>
  <c r="P7" i="27" s="1"/>
  <c r="BH4" i="29"/>
  <c r="P6" i="27" s="1"/>
  <c r="E41" i="27"/>
  <c r="L41" i="27" s="1"/>
  <c r="E38" i="27"/>
  <c r="L38" i="27" s="1"/>
  <c r="E37" i="27"/>
  <c r="E36" i="27"/>
  <c r="E35" i="27"/>
  <c r="L35" i="27" s="1"/>
  <c r="E32" i="27"/>
  <c r="K32" i="27" s="1"/>
  <c r="E29" i="27"/>
  <c r="E28" i="27"/>
  <c r="E27" i="27"/>
  <c r="L27" i="27" s="1"/>
  <c r="E26" i="27"/>
  <c r="L26" i="27" s="1"/>
  <c r="E24" i="27"/>
  <c r="L24" i="27" s="1"/>
  <c r="E23" i="27"/>
  <c r="E22" i="27"/>
  <c r="L22" i="27" s="1"/>
  <c r="E21" i="27"/>
  <c r="L21" i="27" s="1"/>
  <c r="E20" i="27"/>
  <c r="E19" i="27"/>
  <c r="E18" i="27"/>
  <c r="L18" i="27" s="1"/>
  <c r="E17" i="27"/>
  <c r="K17" i="27" s="1"/>
  <c r="E16" i="27"/>
  <c r="L16" i="27" s="1"/>
  <c r="E15" i="27"/>
  <c r="K15" i="27" s="1"/>
  <c r="E14" i="27"/>
  <c r="L14" i="27" s="1"/>
  <c r="E13" i="27"/>
  <c r="E12" i="27"/>
  <c r="E11" i="27"/>
  <c r="E10" i="27"/>
  <c r="L10" i="27" s="1"/>
  <c r="E9" i="27"/>
  <c r="K9" i="27" s="1"/>
  <c r="E8" i="27"/>
  <c r="L8" i="27" s="1"/>
  <c r="E7" i="27"/>
  <c r="N194" i="14"/>
  <c r="E34" i="27" s="1"/>
  <c r="N193" i="14"/>
  <c r="E39" i="27" s="1"/>
  <c r="L39" i="27" s="1"/>
  <c r="N191" i="14"/>
  <c r="E30" i="27" s="1"/>
  <c r="L30" i="27" s="1"/>
  <c r="N190" i="14"/>
  <c r="N189" i="14"/>
  <c r="E31" i="27" s="1"/>
  <c r="K31" i="27" s="1"/>
  <c r="K6" i="27"/>
  <c r="AD140" i="14"/>
  <c r="AD105" i="14"/>
  <c r="AD69" i="14"/>
  <c r="AD38" i="14"/>
  <c r="AD11" i="14"/>
  <c r="D6" i="27"/>
  <c r="D41" i="27"/>
  <c r="D38" i="27"/>
  <c r="J38" i="27" s="1"/>
  <c r="D37" i="27"/>
  <c r="D36" i="27"/>
  <c r="J36" i="27" s="1"/>
  <c r="D35" i="27"/>
  <c r="D32" i="27"/>
  <c r="D29" i="27"/>
  <c r="D28" i="27"/>
  <c r="D27" i="27"/>
  <c r="D26" i="27"/>
  <c r="I26" i="27" s="1"/>
  <c r="D24" i="27"/>
  <c r="I24" i="27" s="1"/>
  <c r="D23" i="27"/>
  <c r="J23" i="27" s="1"/>
  <c r="D22" i="27"/>
  <c r="D21" i="27"/>
  <c r="D20" i="27"/>
  <c r="D19" i="27"/>
  <c r="D18" i="27"/>
  <c r="D17" i="27"/>
  <c r="D16" i="27"/>
  <c r="I16" i="27" s="1"/>
  <c r="D15" i="27"/>
  <c r="J15" i="27" s="1"/>
  <c r="D14" i="27"/>
  <c r="D13" i="27"/>
  <c r="D12" i="27"/>
  <c r="D11" i="27"/>
  <c r="D10" i="27"/>
  <c r="D9" i="27"/>
  <c r="D8" i="27"/>
  <c r="I8" i="27" s="1"/>
  <c r="D7" i="27"/>
  <c r="J7" i="27" s="1"/>
  <c r="AD135" i="14"/>
  <c r="S142" i="14"/>
  <c r="S141" i="14"/>
  <c r="S140" i="14"/>
  <c r="S139" i="14"/>
  <c r="S138" i="14"/>
  <c r="Y141" i="14" s="1"/>
  <c r="S137" i="14"/>
  <c r="Y140" i="14" s="1"/>
  <c r="S136" i="14"/>
  <c r="S135" i="14"/>
  <c r="Y137" i="14" s="1"/>
  <c r="S134" i="14"/>
  <c r="Y136" i="14" s="1"/>
  <c r="S133" i="14"/>
  <c r="S132" i="14"/>
  <c r="F27" i="27" l="1"/>
  <c r="F22" i="27"/>
  <c r="F14" i="27"/>
  <c r="F11" i="27"/>
  <c r="F19" i="27"/>
  <c r="F18" i="27"/>
  <c r="Y138" i="14"/>
  <c r="Y139" i="14"/>
  <c r="Y134" i="14"/>
  <c r="Y132" i="14"/>
  <c r="Y135" i="14"/>
  <c r="Y133" i="14"/>
  <c r="F10" i="27"/>
  <c r="R153" i="14"/>
  <c r="F9" i="27"/>
  <c r="F17" i="27"/>
  <c r="AD133" i="14"/>
  <c r="Z36" i="27"/>
  <c r="Z28" i="27"/>
  <c r="Z20" i="27"/>
  <c r="Z12" i="27"/>
  <c r="Z35" i="27"/>
  <c r="Z27" i="27"/>
  <c r="Z19" i="27"/>
  <c r="Z11" i="27"/>
  <c r="Z37" i="27"/>
  <c r="Z42" i="27"/>
  <c r="Z34" i="27"/>
  <c r="Z26" i="27"/>
  <c r="Z18" i="27"/>
  <c r="Z10" i="27"/>
  <c r="Z41" i="27"/>
  <c r="Z33" i="27"/>
  <c r="Z25" i="27"/>
  <c r="Z17" i="27"/>
  <c r="Z9" i="27"/>
  <c r="Z40" i="27"/>
  <c r="Z32" i="27"/>
  <c r="Z24" i="27"/>
  <c r="Z16" i="27"/>
  <c r="Z8" i="27"/>
  <c r="Z39" i="27"/>
  <c r="Z31" i="27"/>
  <c r="Z23" i="27"/>
  <c r="Z15" i="27"/>
  <c r="Z7" i="27"/>
  <c r="Z38" i="27"/>
  <c r="Z30" i="27"/>
  <c r="Z22" i="27"/>
  <c r="Z14" i="27"/>
  <c r="Z6" i="27"/>
  <c r="Z29" i="27"/>
  <c r="Z21" i="27"/>
  <c r="F35" i="27"/>
  <c r="K27" i="27"/>
  <c r="N27" i="27" s="1"/>
  <c r="R27" i="27" s="1"/>
  <c r="I15" i="27"/>
  <c r="M15" i="27" s="1"/>
  <c r="Q15" i="27" s="1"/>
  <c r="K38" i="27"/>
  <c r="N38" i="27" s="1"/>
  <c r="R38" i="27" s="1"/>
  <c r="K18" i="27"/>
  <c r="N18" i="27" s="1"/>
  <c r="R18" i="27" s="1"/>
  <c r="F41" i="27"/>
  <c r="I7" i="27"/>
  <c r="M7" i="27" s="1"/>
  <c r="Q7" i="27" s="1"/>
  <c r="J26" i="27"/>
  <c r="M26" i="27" s="1"/>
  <c r="Q26" i="27" s="1"/>
  <c r="L9" i="27"/>
  <c r="N9" i="27" s="1"/>
  <c r="R9" i="27" s="1"/>
  <c r="K30" i="27"/>
  <c r="J18" i="27"/>
  <c r="I27" i="27"/>
  <c r="K10" i="27"/>
  <c r="N10" i="27" s="1"/>
  <c r="R10" i="27" s="1"/>
  <c r="K19" i="27"/>
  <c r="K39" i="27"/>
  <c r="N39" i="27" s="1"/>
  <c r="R39" i="27" s="1"/>
  <c r="J10" i="27"/>
  <c r="I19" i="27"/>
  <c r="J27" i="27"/>
  <c r="L19" i="27"/>
  <c r="I11" i="27"/>
  <c r="J19" i="27"/>
  <c r="I35" i="27"/>
  <c r="K11" i="27"/>
  <c r="K22" i="27"/>
  <c r="N22" i="27" s="1"/>
  <c r="R22" i="27" s="1"/>
  <c r="K34" i="27"/>
  <c r="L17" i="27"/>
  <c r="N17" i="27" s="1"/>
  <c r="R17" i="27" s="1"/>
  <c r="J11" i="27"/>
  <c r="J22" i="27"/>
  <c r="J35" i="27"/>
  <c r="L11" i="27"/>
  <c r="K26" i="27"/>
  <c r="N26" i="27" s="1"/>
  <c r="R26" i="27" s="1"/>
  <c r="L34" i="27"/>
  <c r="J14" i="27"/>
  <c r="I23" i="27"/>
  <c r="M23" i="27" s="1"/>
  <c r="Q23" i="27" s="1"/>
  <c r="I36" i="27"/>
  <c r="M36" i="27" s="1"/>
  <c r="Q36" i="27" s="1"/>
  <c r="K14" i="27"/>
  <c r="N14" i="27" s="1"/>
  <c r="R14" i="27" s="1"/>
  <c r="K35" i="27"/>
  <c r="N35" i="27" s="1"/>
  <c r="R35" i="27" s="1"/>
  <c r="F21" i="27"/>
  <c r="J21" i="27"/>
  <c r="I21" i="27"/>
  <c r="F29" i="27"/>
  <c r="J29" i="27"/>
  <c r="I29" i="27"/>
  <c r="I6" i="27"/>
  <c r="J12" i="27"/>
  <c r="I12" i="27"/>
  <c r="K13" i="27"/>
  <c r="J6" i="27"/>
  <c r="J20" i="27"/>
  <c r="I20" i="27"/>
  <c r="I28" i="27"/>
  <c r="J28" i="27"/>
  <c r="L12" i="27"/>
  <c r="K12" i="27"/>
  <c r="L20" i="27"/>
  <c r="K20" i="27"/>
  <c r="L28" i="27"/>
  <c r="K28" i="27"/>
  <c r="L36" i="27"/>
  <c r="K36" i="27"/>
  <c r="F13" i="27"/>
  <c r="J13" i="27"/>
  <c r="I13" i="27"/>
  <c r="K21" i="27"/>
  <c r="N21" i="27" s="1"/>
  <c r="R21" i="27" s="1"/>
  <c r="L29" i="27"/>
  <c r="K29" i="27"/>
  <c r="L37" i="27"/>
  <c r="K37" i="27"/>
  <c r="L13" i="27"/>
  <c r="L6" i="27"/>
  <c r="N6" i="27" s="1"/>
  <c r="R6" i="27" s="1"/>
  <c r="I32" i="27"/>
  <c r="K7" i="27"/>
  <c r="L31" i="27"/>
  <c r="N31" i="27" s="1"/>
  <c r="R31" i="27" s="1"/>
  <c r="L7" i="27"/>
  <c r="F37" i="27"/>
  <c r="I9" i="27"/>
  <c r="I17" i="27"/>
  <c r="I37" i="27"/>
  <c r="I41" i="27"/>
  <c r="K8" i="27"/>
  <c r="N8" i="27" s="1"/>
  <c r="R8" i="27" s="1"/>
  <c r="K16" i="27"/>
  <c r="N16" i="27" s="1"/>
  <c r="R16" i="27" s="1"/>
  <c r="K24" i="27"/>
  <c r="N24" i="27" s="1"/>
  <c r="R24" i="27" s="1"/>
  <c r="L32" i="27"/>
  <c r="N32" i="27" s="1"/>
  <c r="R32" i="27" s="1"/>
  <c r="K23" i="27"/>
  <c r="J8" i="27"/>
  <c r="M8" i="27" s="1"/>
  <c r="Q8" i="27" s="1"/>
  <c r="J16" i="27"/>
  <c r="M16" i="27" s="1"/>
  <c r="Q16" i="27" s="1"/>
  <c r="J24" i="27"/>
  <c r="M24" i="27" s="1"/>
  <c r="Q24" i="27" s="1"/>
  <c r="J32" i="27"/>
  <c r="L15" i="27"/>
  <c r="N15" i="27" s="1"/>
  <c r="R15" i="27" s="1"/>
  <c r="L23" i="27"/>
  <c r="F38" i="27"/>
  <c r="J9" i="27"/>
  <c r="J17" i="27"/>
  <c r="J37" i="27"/>
  <c r="J41" i="27"/>
  <c r="K41" i="27"/>
  <c r="N41" i="27" s="1"/>
  <c r="R41" i="27" s="1"/>
  <c r="I10" i="27"/>
  <c r="I14" i="27"/>
  <c r="I18" i="27"/>
  <c r="I22" i="27"/>
  <c r="I38" i="27"/>
  <c r="M38" i="27" s="1"/>
  <c r="Q38" i="27" s="1"/>
  <c r="F32" i="27"/>
  <c r="F15" i="27"/>
  <c r="F7" i="27"/>
  <c r="F23" i="27"/>
  <c r="F36" i="27"/>
  <c r="F12" i="27"/>
  <c r="F20" i="27"/>
  <c r="F28" i="27"/>
  <c r="F6" i="27"/>
  <c r="F8" i="27"/>
  <c r="F16" i="27"/>
  <c r="F24" i="27"/>
  <c r="F26" i="27"/>
  <c r="AD136" i="14"/>
  <c r="AD138" i="14"/>
  <c r="AD137" i="14" l="1"/>
  <c r="M32" i="27"/>
  <c r="Q32" i="27" s="1"/>
  <c r="AA32" i="27" s="1"/>
  <c r="S8" i="27"/>
  <c r="AA8" i="27"/>
  <c r="S24" i="27"/>
  <c r="AA24" i="27"/>
  <c r="AA26" i="27"/>
  <c r="S26" i="27"/>
  <c r="AD134" i="14"/>
  <c r="AD132" i="14"/>
  <c r="S16" i="27"/>
  <c r="AA16" i="27"/>
  <c r="S15" i="27"/>
  <c r="AA15" i="27"/>
  <c r="M6" i="27"/>
  <c r="Q6" i="27" s="1"/>
  <c r="S38" i="27"/>
  <c r="AA38" i="27"/>
  <c r="AD139" i="14"/>
  <c r="N29" i="27"/>
  <c r="R29" i="27" s="1"/>
  <c r="N28" i="27"/>
  <c r="R28" i="27" s="1"/>
  <c r="M20" i="27"/>
  <c r="Q20" i="27" s="1"/>
  <c r="M19" i="27"/>
  <c r="Q19" i="27" s="1"/>
  <c r="M21" i="27"/>
  <c r="Q21" i="27" s="1"/>
  <c r="O24" i="27"/>
  <c r="M11" i="27"/>
  <c r="Q11" i="27" s="1"/>
  <c r="N23" i="27"/>
  <c r="M13" i="27"/>
  <c r="Q13" i="27" s="1"/>
  <c r="N19" i="27"/>
  <c r="R19" i="27" s="1"/>
  <c r="N37" i="27"/>
  <c r="R37" i="27" s="1"/>
  <c r="O26" i="27"/>
  <c r="O16" i="27"/>
  <c r="O15" i="27"/>
  <c r="O8" i="27"/>
  <c r="N7" i="27"/>
  <c r="N11" i="27"/>
  <c r="R11" i="27" s="1"/>
  <c r="M27" i="27"/>
  <c r="N20" i="27"/>
  <c r="R20" i="27" s="1"/>
  <c r="M29" i="27"/>
  <c r="N34" i="27"/>
  <c r="R34" i="27" s="1"/>
  <c r="M28" i="27"/>
  <c r="N36" i="27"/>
  <c r="M22" i="27"/>
  <c r="M18" i="27"/>
  <c r="M14" i="27"/>
  <c r="N13" i="27"/>
  <c r="R13" i="27" s="1"/>
  <c r="M12" i="27"/>
  <c r="Q12" i="27" s="1"/>
  <c r="M35" i="27"/>
  <c r="O38" i="27"/>
  <c r="M10" i="27"/>
  <c r="N12" i="27"/>
  <c r="R12" i="27" s="1"/>
  <c r="M17" i="27"/>
  <c r="M37" i="27"/>
  <c r="Q37" i="27" s="1"/>
  <c r="M9" i="27"/>
  <c r="M41" i="27"/>
  <c r="O32" i="27" l="1"/>
  <c r="S32" i="27"/>
  <c r="O21" i="27"/>
  <c r="O23" i="27"/>
  <c r="R23" i="27"/>
  <c r="O7" i="27"/>
  <c r="R7" i="27"/>
  <c r="O36" i="27"/>
  <c r="R36" i="27"/>
  <c r="O28" i="27"/>
  <c r="Q28" i="27"/>
  <c r="AA11" i="27"/>
  <c r="S11" i="27"/>
  <c r="O29" i="27"/>
  <c r="Q29" i="27"/>
  <c r="O17" i="27"/>
  <c r="Q17" i="27"/>
  <c r="AA21" i="27"/>
  <c r="S21" i="27"/>
  <c r="AA6" i="27"/>
  <c r="S6" i="27"/>
  <c r="O22" i="27"/>
  <c r="Q22" i="27"/>
  <c r="O27" i="27"/>
  <c r="Q27" i="27"/>
  <c r="AA19" i="27"/>
  <c r="S19" i="27"/>
  <c r="O10" i="27"/>
  <c r="Q10" i="27"/>
  <c r="S20" i="27"/>
  <c r="AA20" i="27"/>
  <c r="O41" i="27"/>
  <c r="Q41" i="27"/>
  <c r="AA12" i="27"/>
  <c r="S12" i="27"/>
  <c r="AA37" i="27"/>
  <c r="S37" i="27"/>
  <c r="O14" i="27"/>
  <c r="Q14" i="27"/>
  <c r="O18" i="27"/>
  <c r="Q18" i="27"/>
  <c r="O9" i="27"/>
  <c r="Q9" i="27"/>
  <c r="O35" i="27"/>
  <c r="Q35" i="27"/>
  <c r="O6" i="27"/>
  <c r="S13" i="27"/>
  <c r="AA13" i="27"/>
  <c r="O20" i="27"/>
  <c r="O19" i="27"/>
  <c r="O37" i="27"/>
  <c r="O11" i="27"/>
  <c r="O13" i="27"/>
  <c r="O12" i="27"/>
  <c r="S36" i="27" l="1"/>
  <c r="AA36" i="27"/>
  <c r="AA7" i="27"/>
  <c r="S7" i="27"/>
  <c r="AA23" i="27"/>
  <c r="S23" i="27"/>
  <c r="AA28" i="27"/>
  <c r="S28" i="27"/>
  <c r="S17" i="27"/>
  <c r="AA17" i="27"/>
  <c r="S14" i="27"/>
  <c r="AA14" i="27"/>
  <c r="S22" i="27"/>
  <c r="AA22" i="27"/>
  <c r="AA29" i="27"/>
  <c r="S29" i="27"/>
  <c r="AA35" i="27"/>
  <c r="S35" i="27"/>
  <c r="AA10" i="27"/>
  <c r="S10" i="27"/>
  <c r="S9" i="27"/>
  <c r="AA9" i="27"/>
  <c r="AA18" i="27"/>
  <c r="S18" i="27"/>
  <c r="S41" i="27"/>
  <c r="AA41" i="27"/>
  <c r="AA27" i="27"/>
  <c r="S27" i="27"/>
  <c r="S3" i="14" l="1"/>
  <c r="S129" i="14"/>
  <c r="AD98" i="14"/>
  <c r="S128" i="14"/>
  <c r="V112" i="14" s="1"/>
  <c r="S127" i="14"/>
  <c r="S126" i="14"/>
  <c r="S125" i="14"/>
  <c r="S124" i="14"/>
  <c r="S123" i="14"/>
  <c r="S122" i="14"/>
  <c r="S121" i="14"/>
  <c r="S120" i="14"/>
  <c r="S119" i="14"/>
  <c r="S118" i="14"/>
  <c r="S117" i="14"/>
  <c r="S116" i="14"/>
  <c r="S115" i="14"/>
  <c r="S114" i="14"/>
  <c r="S113" i="14"/>
  <c r="S112" i="14"/>
  <c r="S111" i="14"/>
  <c r="V111" i="14" s="1"/>
  <c r="S110" i="14"/>
  <c r="S109" i="14"/>
  <c r="V109" i="14" s="1"/>
  <c r="S108" i="14"/>
  <c r="V108" i="14" s="1"/>
  <c r="S107" i="14"/>
  <c r="V107" i="14" s="1"/>
  <c r="S106" i="14"/>
  <c r="S105" i="14"/>
  <c r="S104" i="14"/>
  <c r="V104" i="14" s="1"/>
  <c r="S103" i="14"/>
  <c r="V103" i="14" s="1"/>
  <c r="S102" i="14"/>
  <c r="V102" i="14" s="1"/>
  <c r="S101" i="14"/>
  <c r="V101" i="14" s="1"/>
  <c r="S100" i="14"/>
  <c r="V100" i="14" s="1"/>
  <c r="S99" i="14"/>
  <c r="V99" i="14" s="1"/>
  <c r="S98" i="14"/>
  <c r="V98" i="14" s="1"/>
  <c r="S97" i="14"/>
  <c r="V97" i="14" l="1"/>
  <c r="Y97" i="14" s="1"/>
  <c r="V106" i="14"/>
  <c r="Y106" i="14" s="1"/>
  <c r="V105" i="14"/>
  <c r="Y105" i="14" s="1"/>
  <c r="V110" i="14"/>
  <c r="Y110" i="14" s="1"/>
  <c r="AD100" i="14" s="1"/>
  <c r="V113" i="14"/>
  <c r="Y98" i="14"/>
  <c r="Y99" i="14"/>
  <c r="Y108" i="14"/>
  <c r="Y109" i="14"/>
  <c r="Y103" i="14"/>
  <c r="Y111" i="14"/>
  <c r="Y107" i="14"/>
  <c r="Y101" i="14"/>
  <c r="Y102" i="14"/>
  <c r="Y104" i="14"/>
  <c r="Y112" i="14"/>
  <c r="Y100" i="14"/>
  <c r="AD62" i="14"/>
  <c r="AD33" i="14"/>
  <c r="S94" i="14"/>
  <c r="V79" i="14" s="1"/>
  <c r="S93" i="14"/>
  <c r="V76" i="14" s="1"/>
  <c r="S92" i="14"/>
  <c r="S91" i="14"/>
  <c r="S90" i="14"/>
  <c r="S89" i="14"/>
  <c r="S88" i="14"/>
  <c r="S87" i="14"/>
  <c r="S86" i="14"/>
  <c r="S85" i="14"/>
  <c r="S84" i="14"/>
  <c r="S83" i="14"/>
  <c r="S82" i="14"/>
  <c r="S81" i="14"/>
  <c r="S80" i="14"/>
  <c r="S79" i="14"/>
  <c r="S78" i="14"/>
  <c r="S77" i="14"/>
  <c r="V78" i="14" s="1"/>
  <c r="S76" i="14"/>
  <c r="V77" i="14" s="1"/>
  <c r="S75" i="14"/>
  <c r="S74" i="14"/>
  <c r="S73" i="14"/>
  <c r="S72" i="14"/>
  <c r="S71" i="14"/>
  <c r="S70" i="14"/>
  <c r="S69" i="14"/>
  <c r="S68" i="14"/>
  <c r="S67" i="14"/>
  <c r="S66" i="14"/>
  <c r="S65" i="14"/>
  <c r="S64" i="14"/>
  <c r="S63" i="14"/>
  <c r="S62" i="14"/>
  <c r="S61" i="14"/>
  <c r="S58" i="14"/>
  <c r="S57" i="14"/>
  <c r="S56" i="14"/>
  <c r="S55" i="14"/>
  <c r="S54" i="14"/>
  <c r="S53" i="14"/>
  <c r="S52" i="14"/>
  <c r="S51" i="14"/>
  <c r="S50" i="14"/>
  <c r="S49" i="14"/>
  <c r="V39" i="14" s="1"/>
  <c r="Y37" i="14" s="1"/>
  <c r="S48" i="14"/>
  <c r="S47" i="14"/>
  <c r="S46" i="14"/>
  <c r="S45" i="14"/>
  <c r="S44" i="14"/>
  <c r="S43" i="14"/>
  <c r="S42" i="14"/>
  <c r="S41" i="14"/>
  <c r="S40" i="14"/>
  <c r="S39" i="14"/>
  <c r="V40" i="14" s="1"/>
  <c r="S38" i="14"/>
  <c r="S37" i="14"/>
  <c r="S36" i="14"/>
  <c r="S35" i="14"/>
  <c r="S34" i="14"/>
  <c r="S33" i="14"/>
  <c r="S32" i="14"/>
  <c r="S31" i="14"/>
  <c r="S30" i="14"/>
  <c r="S14" i="14"/>
  <c r="S13" i="14"/>
  <c r="S12" i="14"/>
  <c r="S11" i="14"/>
  <c r="S10" i="14"/>
  <c r="S9" i="14"/>
  <c r="S8" i="14"/>
  <c r="S7" i="14"/>
  <c r="S6" i="14"/>
  <c r="S5" i="14"/>
  <c r="S4" i="14"/>
  <c r="AD97" i="14" l="1"/>
  <c r="AD102" i="14"/>
  <c r="AD104" i="14"/>
  <c r="V35" i="14"/>
  <c r="V30" i="14"/>
  <c r="Y30" i="14" s="1"/>
  <c r="V36" i="14"/>
  <c r="D40" i="27"/>
  <c r="V38" i="14"/>
  <c r="V37" i="14"/>
  <c r="V31" i="14"/>
  <c r="V32" i="14"/>
  <c r="Y32" i="14" s="1"/>
  <c r="V33" i="14"/>
  <c r="V34" i="14"/>
  <c r="AD99" i="14"/>
  <c r="V61" i="14"/>
  <c r="V69" i="14"/>
  <c r="AD101" i="14"/>
  <c r="AD103" i="14"/>
  <c r="V63" i="14"/>
  <c r="V71" i="14"/>
  <c r="V65" i="14"/>
  <c r="V73" i="14"/>
  <c r="V64" i="14"/>
  <c r="V72" i="14"/>
  <c r="V67" i="14"/>
  <c r="V75" i="14"/>
  <c r="V68" i="14"/>
  <c r="V66" i="14"/>
  <c r="V74" i="14"/>
  <c r="V62" i="14"/>
  <c r="V70" i="14"/>
  <c r="Y36" i="14" l="1"/>
  <c r="Y61" i="14"/>
  <c r="Y34" i="14"/>
  <c r="AD35" i="14" s="1"/>
  <c r="Y33" i="14"/>
  <c r="Y35" i="14"/>
  <c r="Y31" i="14"/>
  <c r="J40" i="27"/>
  <c r="I40" i="27"/>
  <c r="Y71" i="14"/>
  <c r="Y63" i="14"/>
  <c r="Y70" i="14"/>
  <c r="Y72" i="14"/>
  <c r="Y62" i="14"/>
  <c r="Y64" i="14"/>
  <c r="Y74" i="14"/>
  <c r="AD64" i="14" s="1"/>
  <c r="Y66" i="14"/>
  <c r="Y73" i="14"/>
  <c r="Y68" i="14"/>
  <c r="Y75" i="14"/>
  <c r="Y76" i="14"/>
  <c r="Y65" i="14"/>
  <c r="Y67" i="14"/>
  <c r="Y69" i="14"/>
  <c r="AD63" i="14" l="1"/>
  <c r="AD68" i="14"/>
  <c r="AD66" i="14"/>
  <c r="AD61" i="14"/>
  <c r="M40" i="27"/>
  <c r="Q40" i="27" s="1"/>
  <c r="AD65" i="14"/>
  <c r="AD67" i="14"/>
  <c r="AD32" i="14" l="1"/>
  <c r="AD31" i="14"/>
  <c r="AD30" i="14" l="1"/>
  <c r="AD36" i="14"/>
  <c r="AD34" i="14"/>
  <c r="AD37" i="14"/>
  <c r="S15" i="14" l="1"/>
  <c r="V3" i="14" s="1"/>
  <c r="Y3" i="14" s="1"/>
  <c r="S16" i="14" l="1"/>
  <c r="V4" i="14" s="1"/>
  <c r="S17" i="14" l="1"/>
  <c r="V5" i="14" s="1"/>
  <c r="S18" i="14" l="1"/>
  <c r="V6" i="14" s="1"/>
  <c r="S19" i="14" l="1"/>
  <c r="V7" i="14" s="1"/>
  <c r="S20" i="14" l="1"/>
  <c r="V8" i="14" s="1"/>
  <c r="S21" i="14" l="1"/>
  <c r="V9" i="14" s="1"/>
  <c r="S22" i="14" l="1"/>
  <c r="V10" i="14" s="1"/>
  <c r="S23" i="14" l="1"/>
  <c r="V11" i="14" s="1"/>
  <c r="S24" i="14" l="1"/>
  <c r="V12" i="14" s="1"/>
  <c r="C149" i="14"/>
  <c r="I142" i="14"/>
  <c r="I141" i="14"/>
  <c r="I140" i="14"/>
  <c r="C140" i="14"/>
  <c r="G155" i="14"/>
  <c r="G154" i="14"/>
  <c r="G153" i="14"/>
  <c r="G152" i="14"/>
  <c r="G151" i="14"/>
  <c r="G150" i="14"/>
  <c r="G149" i="14"/>
  <c r="D149" i="14"/>
  <c r="I146" i="14"/>
  <c r="I145" i="14"/>
  <c r="I144" i="14"/>
  <c r="I143" i="14"/>
  <c r="F140" i="14"/>
  <c r="E140" i="14"/>
  <c r="D140" i="14"/>
  <c r="F133" i="14"/>
  <c r="E133" i="14"/>
  <c r="D133" i="14"/>
  <c r="C133" i="14"/>
  <c r="G133" i="14"/>
  <c r="H133" i="14"/>
  <c r="C71" i="14"/>
  <c r="C78" i="14"/>
  <c r="G94" i="14"/>
  <c r="G93" i="14"/>
  <c r="G92" i="14"/>
  <c r="G91" i="14"/>
  <c r="G90" i="14"/>
  <c r="G89" i="14"/>
  <c r="G88" i="14"/>
  <c r="D88" i="14"/>
  <c r="C88" i="14"/>
  <c r="I84" i="14"/>
  <c r="I83" i="14"/>
  <c r="I82" i="14"/>
  <c r="I81" i="14"/>
  <c r="I80" i="14"/>
  <c r="I79" i="14"/>
  <c r="I78" i="14"/>
  <c r="F78" i="14"/>
  <c r="E78" i="14"/>
  <c r="D78" i="14"/>
  <c r="C26" i="14"/>
  <c r="D71" i="14"/>
  <c r="C17" i="14"/>
  <c r="C10" i="14"/>
  <c r="G32" i="14"/>
  <c r="G31" i="14"/>
  <c r="G30" i="14"/>
  <c r="G29" i="14"/>
  <c r="G28" i="14"/>
  <c r="G27" i="14"/>
  <c r="G26" i="14"/>
  <c r="D26" i="14"/>
  <c r="L140" i="14" l="1"/>
  <c r="H134" i="14"/>
  <c r="J31" i="14"/>
  <c r="J27" i="14"/>
  <c r="S25" i="14"/>
  <c r="V13" i="14" s="1"/>
  <c r="J32" i="14"/>
  <c r="K32" i="14"/>
  <c r="J149" i="14"/>
  <c r="J153" i="14"/>
  <c r="K152" i="14"/>
  <c r="K153" i="14"/>
  <c r="J150" i="14"/>
  <c r="J154" i="14"/>
  <c r="K150" i="14"/>
  <c r="K154" i="14"/>
  <c r="J151" i="14"/>
  <c r="J155" i="14"/>
  <c r="K151" i="14"/>
  <c r="K155" i="14"/>
  <c r="J152" i="14"/>
  <c r="K149" i="14"/>
  <c r="L145" i="14"/>
  <c r="M141" i="14"/>
  <c r="M143" i="14"/>
  <c r="M145" i="14"/>
  <c r="N141" i="14"/>
  <c r="N143" i="14"/>
  <c r="N145" i="14"/>
  <c r="O141" i="14"/>
  <c r="L141" i="14"/>
  <c r="L143" i="14"/>
  <c r="O143" i="14"/>
  <c r="O145" i="14"/>
  <c r="L142" i="14"/>
  <c r="L144" i="14"/>
  <c r="L146" i="14"/>
  <c r="M140" i="14"/>
  <c r="M142" i="14"/>
  <c r="M144" i="14"/>
  <c r="M146" i="14"/>
  <c r="N140" i="14"/>
  <c r="N142" i="14"/>
  <c r="N144" i="14"/>
  <c r="N146" i="14"/>
  <c r="O140" i="14"/>
  <c r="O142" i="14"/>
  <c r="O144" i="14"/>
  <c r="O146" i="14"/>
  <c r="G134" i="14"/>
  <c r="D134" i="14"/>
  <c r="E134" i="14"/>
  <c r="F134" i="14"/>
  <c r="C134" i="14"/>
  <c r="J30" i="14"/>
  <c r="J29" i="14"/>
  <c r="K29" i="14"/>
  <c r="J26" i="14"/>
  <c r="K30" i="14"/>
  <c r="K27" i="14"/>
  <c r="K31" i="14"/>
  <c r="K26" i="14"/>
  <c r="J28" i="14"/>
  <c r="K28" i="14"/>
  <c r="O84" i="14"/>
  <c r="L78" i="14"/>
  <c r="K94" i="14"/>
  <c r="K91" i="14"/>
  <c r="J94" i="14"/>
  <c r="J91" i="14"/>
  <c r="J88" i="14"/>
  <c r="J92" i="14"/>
  <c r="K88" i="14"/>
  <c r="K92" i="14"/>
  <c r="J89" i="14"/>
  <c r="J93" i="14"/>
  <c r="K89" i="14"/>
  <c r="K93" i="14"/>
  <c r="L79" i="14"/>
  <c r="M83" i="14"/>
  <c r="J90" i="14"/>
  <c r="N84" i="14"/>
  <c r="K90" i="14"/>
  <c r="N79" i="14"/>
  <c r="N81" i="14"/>
  <c r="N83" i="14"/>
  <c r="O79" i="14"/>
  <c r="O81" i="14"/>
  <c r="O83" i="14"/>
  <c r="L82" i="14"/>
  <c r="L84" i="14"/>
  <c r="L83" i="14"/>
  <c r="M81" i="14"/>
  <c r="L80" i="14"/>
  <c r="M78" i="14"/>
  <c r="M80" i="14"/>
  <c r="M82" i="14"/>
  <c r="M84" i="14"/>
  <c r="L81" i="14"/>
  <c r="M79" i="14"/>
  <c r="N78" i="14"/>
  <c r="N80" i="14"/>
  <c r="N82" i="14"/>
  <c r="O78" i="14"/>
  <c r="O80" i="14"/>
  <c r="O82" i="14"/>
  <c r="D72" i="14"/>
  <c r="C72" i="14"/>
  <c r="D10" i="14"/>
  <c r="S27" i="14" l="1"/>
  <c r="V15" i="14" s="1"/>
  <c r="Y4" i="14" s="1"/>
  <c r="S26" i="14"/>
  <c r="V14" i="14" s="1"/>
  <c r="Y13" i="14" s="1"/>
  <c r="AD5" i="14" s="1"/>
  <c r="D11" i="14"/>
  <c r="C11" i="14"/>
  <c r="K6" i="20"/>
  <c r="R62" i="21"/>
  <c r="Q62" i="21"/>
  <c r="P62" i="21"/>
  <c r="O62" i="21"/>
  <c r="N62" i="21"/>
  <c r="M62" i="21"/>
  <c r="L62" i="21"/>
  <c r="J62" i="21"/>
  <c r="I62" i="21"/>
  <c r="H62" i="21"/>
  <c r="G62" i="21"/>
  <c r="F62" i="21"/>
  <c r="E62" i="21"/>
  <c r="D62" i="21"/>
  <c r="Y10" i="14" l="1"/>
  <c r="Y8" i="14"/>
  <c r="AD6" i="14" s="1"/>
  <c r="R148" i="14" s="1"/>
  <c r="Y7" i="14"/>
  <c r="Y6" i="14"/>
  <c r="Y11" i="14"/>
  <c r="AD4" i="14" s="1"/>
  <c r="R146" i="14" s="1"/>
  <c r="D31" i="27" s="1"/>
  <c r="Y9" i="14"/>
  <c r="AD9" i="14" s="1"/>
  <c r="Y5" i="14"/>
  <c r="AD3" i="14" s="1"/>
  <c r="R145" i="14" s="1"/>
  <c r="Y12" i="14"/>
  <c r="R147" i="14"/>
  <c r="N52" i="20"/>
  <c r="M52" i="20"/>
  <c r="L52" i="20"/>
  <c r="K52" i="20"/>
  <c r="J52" i="20"/>
  <c r="I52" i="20"/>
  <c r="H52" i="20"/>
  <c r="G52" i="20"/>
  <c r="F52" i="20"/>
  <c r="E52" i="20"/>
  <c r="D52" i="20"/>
  <c r="C52" i="20"/>
  <c r="N44" i="20"/>
  <c r="M44" i="20"/>
  <c r="K44" i="20"/>
  <c r="J44" i="20"/>
  <c r="I44" i="20"/>
  <c r="H44" i="20"/>
  <c r="G44" i="20"/>
  <c r="F44" i="20"/>
  <c r="E44" i="20"/>
  <c r="D44" i="20"/>
  <c r="C44" i="20"/>
  <c r="N36" i="20"/>
  <c r="M36" i="20"/>
  <c r="L36" i="20"/>
  <c r="K36" i="20"/>
  <c r="J36" i="20"/>
  <c r="I36" i="20"/>
  <c r="H36" i="20"/>
  <c r="G36" i="20"/>
  <c r="F36" i="20"/>
  <c r="E36" i="20"/>
  <c r="D36" i="20"/>
  <c r="C36" i="20"/>
  <c r="N33" i="20"/>
  <c r="M33" i="20"/>
  <c r="L33" i="20"/>
  <c r="K33" i="20"/>
  <c r="J33" i="20"/>
  <c r="I33" i="20"/>
  <c r="H33" i="20"/>
  <c r="G33" i="20"/>
  <c r="F33" i="20"/>
  <c r="E33" i="20"/>
  <c r="D33" i="20"/>
  <c r="C33" i="20"/>
  <c r="N32" i="20"/>
  <c r="M32" i="20"/>
  <c r="L32" i="20"/>
  <c r="K32" i="20"/>
  <c r="J32" i="20"/>
  <c r="I32" i="20"/>
  <c r="H32" i="20"/>
  <c r="G32" i="20"/>
  <c r="F32" i="20"/>
  <c r="E32" i="20"/>
  <c r="D32" i="20"/>
  <c r="C32" i="20"/>
  <c r="N31" i="20"/>
  <c r="M31" i="20"/>
  <c r="L31" i="20"/>
  <c r="K31" i="20"/>
  <c r="J31" i="20"/>
  <c r="I31" i="20"/>
  <c r="H31" i="20"/>
  <c r="G31" i="20"/>
  <c r="F31" i="20"/>
  <c r="E31" i="20"/>
  <c r="D31" i="20"/>
  <c r="C31" i="20"/>
  <c r="N29" i="20"/>
  <c r="M29" i="20"/>
  <c r="L29" i="20"/>
  <c r="K29" i="20"/>
  <c r="J29" i="20"/>
  <c r="I29" i="20"/>
  <c r="H29" i="20"/>
  <c r="G29" i="20"/>
  <c r="F29" i="20"/>
  <c r="E29" i="20"/>
  <c r="D29" i="20"/>
  <c r="C29" i="20"/>
  <c r="N27" i="20"/>
  <c r="M27" i="20"/>
  <c r="L27" i="20"/>
  <c r="K27" i="20"/>
  <c r="J27" i="20"/>
  <c r="I27" i="20"/>
  <c r="H27" i="20"/>
  <c r="G27" i="20"/>
  <c r="F27" i="20"/>
  <c r="E27" i="20"/>
  <c r="D27" i="20"/>
  <c r="C27" i="20"/>
  <c r="N22" i="20"/>
  <c r="M22" i="20"/>
  <c r="L22" i="20"/>
  <c r="K22" i="20"/>
  <c r="J22" i="20"/>
  <c r="I22" i="20"/>
  <c r="H22" i="20"/>
  <c r="G22" i="20"/>
  <c r="F22" i="20"/>
  <c r="E22" i="20"/>
  <c r="D22" i="20"/>
  <c r="C22" i="20"/>
  <c r="J18" i="20"/>
  <c r="I18" i="20"/>
  <c r="H18" i="20"/>
  <c r="G18" i="20"/>
  <c r="N6" i="20"/>
  <c r="M6" i="20"/>
  <c r="J6" i="20"/>
  <c r="I6" i="20"/>
  <c r="H6" i="20"/>
  <c r="G6" i="20"/>
  <c r="F6" i="20"/>
  <c r="E6" i="20"/>
  <c r="D6" i="20"/>
  <c r="C6" i="20"/>
  <c r="AD8" i="14" l="1"/>
  <c r="R150" i="14" s="1"/>
  <c r="D30" i="27"/>
  <c r="F30" i="27" s="1"/>
  <c r="AD7" i="14"/>
  <c r="R149" i="14" s="1"/>
  <c r="D25" i="27" s="1"/>
  <c r="R151" i="14"/>
  <c r="D34" i="27" s="1"/>
  <c r="D33" i="27"/>
  <c r="I33" i="27" s="1"/>
  <c r="AH46" i="27"/>
  <c r="D39" i="27"/>
  <c r="I39" i="27" s="1"/>
  <c r="AD10" i="14"/>
  <c r="R152" i="14" s="1"/>
  <c r="J31" i="27"/>
  <c r="I31" i="27"/>
  <c r="F31" i="27"/>
  <c r="F23" i="14"/>
  <c r="E23" i="14"/>
  <c r="D23" i="14"/>
  <c r="C23" i="14"/>
  <c r="F22" i="14"/>
  <c r="E22" i="14"/>
  <c r="D22" i="14"/>
  <c r="C22" i="14"/>
  <c r="F21" i="14"/>
  <c r="E21" i="14"/>
  <c r="D21" i="14"/>
  <c r="C21" i="14"/>
  <c r="F20" i="14"/>
  <c r="E20" i="14"/>
  <c r="D20" i="14"/>
  <c r="C20" i="14"/>
  <c r="F19" i="14"/>
  <c r="E19" i="14"/>
  <c r="D19" i="14"/>
  <c r="C19" i="14"/>
  <c r="F18" i="14"/>
  <c r="E18" i="14"/>
  <c r="D18" i="14"/>
  <c r="C18" i="14"/>
  <c r="F17" i="14"/>
  <c r="E17" i="14"/>
  <c r="D17" i="14"/>
  <c r="H13" i="13"/>
  <c r="B128" i="14" s="1"/>
  <c r="I30" i="27" l="1"/>
  <c r="J30" i="27"/>
  <c r="C135" i="14"/>
  <c r="F135" i="14"/>
  <c r="E135" i="14"/>
  <c r="D135" i="14"/>
  <c r="J39" i="27"/>
  <c r="M39" i="27" s="1"/>
  <c r="F39" i="27"/>
  <c r="J25" i="27"/>
  <c r="I25" i="27"/>
  <c r="I34" i="27"/>
  <c r="J34" i="27"/>
  <c r="F34" i="27"/>
  <c r="J33" i="27"/>
  <c r="D42" i="27"/>
  <c r="M31" i="27"/>
  <c r="F68" i="14"/>
  <c r="E68" i="14"/>
  <c r="D68" i="14"/>
  <c r="C68" i="14"/>
  <c r="B68" i="14"/>
  <c r="M34" i="27" l="1"/>
  <c r="O34" i="27" s="1"/>
  <c r="D43" i="27"/>
  <c r="D6" i="8" s="1"/>
  <c r="D162" i="14"/>
  <c r="D166" i="14"/>
  <c r="D163" i="14"/>
  <c r="D161" i="14"/>
  <c r="D165" i="14"/>
  <c r="D160" i="14"/>
  <c r="D164" i="14"/>
  <c r="E160" i="14"/>
  <c r="E164" i="14"/>
  <c r="E161" i="14"/>
  <c r="E165" i="14"/>
  <c r="E166" i="14"/>
  <c r="E163" i="14"/>
  <c r="E162" i="14"/>
  <c r="F164" i="14"/>
  <c r="F161" i="14"/>
  <c r="F163" i="14"/>
  <c r="F162" i="14"/>
  <c r="F160" i="14"/>
  <c r="F165" i="14"/>
  <c r="F166" i="14"/>
  <c r="C166" i="14"/>
  <c r="C160" i="14"/>
  <c r="C165" i="14"/>
  <c r="C164" i="14"/>
  <c r="C163" i="14"/>
  <c r="C161" i="14"/>
  <c r="C162" i="14"/>
  <c r="O39" i="27"/>
  <c r="Q39" i="27"/>
  <c r="S39" i="27" s="1"/>
  <c r="M25" i="27"/>
  <c r="Q25" i="27" s="1"/>
  <c r="O31" i="27"/>
  <c r="Q31" i="27"/>
  <c r="I42" i="27"/>
  <c r="J42" i="27"/>
  <c r="J43" i="27" s="1"/>
  <c r="M33" i="27" s="1"/>
  <c r="Q33" i="27" s="1"/>
  <c r="C105" i="14"/>
  <c r="C100" i="14"/>
  <c r="C104" i="14"/>
  <c r="C101" i="14"/>
  <c r="C103" i="14"/>
  <c r="C102" i="14"/>
  <c r="C99" i="14"/>
  <c r="E99" i="14"/>
  <c r="E102" i="14"/>
  <c r="E101" i="14"/>
  <c r="E105" i="14"/>
  <c r="E104" i="14"/>
  <c r="E100" i="14"/>
  <c r="E103" i="14"/>
  <c r="D73" i="14"/>
  <c r="C73" i="14"/>
  <c r="D100" i="14"/>
  <c r="D104" i="14"/>
  <c r="D103" i="14"/>
  <c r="D101" i="14"/>
  <c r="D102" i="14"/>
  <c r="D105" i="14"/>
  <c r="D99" i="14"/>
  <c r="F100" i="14"/>
  <c r="F103" i="14"/>
  <c r="F104" i="14"/>
  <c r="F99" i="14"/>
  <c r="F105" i="14"/>
  <c r="F101" i="14"/>
  <c r="F102" i="14"/>
  <c r="E7" i="14"/>
  <c r="D7" i="14"/>
  <c r="C7" i="14"/>
  <c r="B7" i="14"/>
  <c r="C37" i="14" s="1"/>
  <c r="H14" i="13"/>
  <c r="C128" i="14" s="1"/>
  <c r="C188" i="14" l="1"/>
  <c r="B6" i="8" s="1"/>
  <c r="Q34" i="27"/>
  <c r="AA34" i="27" s="1"/>
  <c r="AA39" i="27"/>
  <c r="G166" i="14"/>
  <c r="G165" i="14"/>
  <c r="G160" i="14"/>
  <c r="G162" i="14"/>
  <c r="H135" i="14"/>
  <c r="G135" i="14"/>
  <c r="G161" i="14"/>
  <c r="G163" i="14"/>
  <c r="G164" i="14"/>
  <c r="M42" i="27"/>
  <c r="Q42" i="27" s="1"/>
  <c r="I43" i="27"/>
  <c r="M30" i="27" s="1"/>
  <c r="S31" i="27"/>
  <c r="AA31" i="27"/>
  <c r="G99" i="14"/>
  <c r="G104" i="14"/>
  <c r="G100" i="14"/>
  <c r="G102" i="14"/>
  <c r="G101" i="14"/>
  <c r="C111" i="14"/>
  <c r="C114" i="14"/>
  <c r="C113" i="14"/>
  <c r="C112" i="14"/>
  <c r="C110" i="14"/>
  <c r="C108" i="14"/>
  <c r="C109" i="14"/>
  <c r="G105" i="14"/>
  <c r="G103" i="14"/>
  <c r="D110" i="14"/>
  <c r="D109" i="14"/>
  <c r="D112" i="14"/>
  <c r="D108" i="14"/>
  <c r="D113" i="14"/>
  <c r="D114" i="14"/>
  <c r="D111" i="14"/>
  <c r="E39" i="14"/>
  <c r="E43" i="14"/>
  <c r="E41" i="14"/>
  <c r="E38" i="14"/>
  <c r="E40" i="14"/>
  <c r="E42" i="14"/>
  <c r="E37" i="14"/>
  <c r="F39" i="14"/>
  <c r="F43" i="14"/>
  <c r="F41" i="14"/>
  <c r="F38" i="14"/>
  <c r="F42" i="14"/>
  <c r="F40" i="14"/>
  <c r="F37" i="14"/>
  <c r="D39" i="14"/>
  <c r="D37" i="14"/>
  <c r="D43" i="14"/>
  <c r="D41" i="14"/>
  <c r="D38" i="14"/>
  <c r="D40" i="14"/>
  <c r="D42" i="14"/>
  <c r="C39" i="14"/>
  <c r="C41" i="14"/>
  <c r="C43" i="14"/>
  <c r="C38" i="14"/>
  <c r="C40" i="14"/>
  <c r="C42" i="14"/>
  <c r="F7" i="14"/>
  <c r="D12" i="14" l="1"/>
  <c r="C12" i="14"/>
  <c r="C189" i="14"/>
  <c r="C6" i="8" s="1"/>
  <c r="S34" i="27"/>
  <c r="C172" i="14"/>
  <c r="C170" i="14"/>
  <c r="C169" i="14"/>
  <c r="C173" i="14"/>
  <c r="C171" i="14"/>
  <c r="C174" i="14"/>
  <c r="C175" i="14"/>
  <c r="D169" i="14"/>
  <c r="D173" i="14"/>
  <c r="D175" i="14"/>
  <c r="D171" i="14"/>
  <c r="D174" i="14"/>
  <c r="D170" i="14"/>
  <c r="D172" i="14"/>
  <c r="Q30" i="27"/>
  <c r="M43" i="27"/>
  <c r="E111" i="14"/>
  <c r="C120" i="14" s="1"/>
  <c r="E112" i="14"/>
  <c r="C121" i="14" s="1"/>
  <c r="E108" i="14"/>
  <c r="C117" i="14" s="1"/>
  <c r="E110" i="14"/>
  <c r="C119" i="14" s="1"/>
  <c r="E113" i="14"/>
  <c r="C122" i="14" s="1"/>
  <c r="E114" i="14"/>
  <c r="C123" i="14" s="1"/>
  <c r="E109" i="14"/>
  <c r="C118" i="14" s="1"/>
  <c r="G40" i="14"/>
  <c r="G38" i="14"/>
  <c r="G43" i="14"/>
  <c r="G41" i="14"/>
  <c r="G37" i="14"/>
  <c r="G39" i="14"/>
  <c r="G42" i="14"/>
  <c r="E175" i="14" l="1"/>
  <c r="C184" i="14" s="1"/>
  <c r="D49" i="14"/>
  <c r="D52" i="14"/>
  <c r="D47" i="14"/>
  <c r="D48" i="14"/>
  <c r="D50" i="14"/>
  <c r="D46" i="14"/>
  <c r="D51" i="14"/>
  <c r="C47" i="14"/>
  <c r="C49" i="14"/>
  <c r="C51" i="14"/>
  <c r="C52" i="14"/>
  <c r="C50" i="14"/>
  <c r="C46" i="14"/>
  <c r="C48" i="14"/>
  <c r="E173" i="14"/>
  <c r="C182" i="14" s="1"/>
  <c r="E171" i="14"/>
  <c r="C180" i="14" s="1"/>
  <c r="E174" i="14"/>
  <c r="C183" i="14" s="1"/>
  <c r="E169" i="14"/>
  <c r="C178" i="14" s="1"/>
  <c r="E170" i="14"/>
  <c r="C179" i="14" s="1"/>
  <c r="E172" i="14"/>
  <c r="C181" i="14" s="1"/>
  <c r="Q43" i="27"/>
  <c r="G6" i="8" s="1"/>
  <c r="T6" i="27" a="1"/>
  <c r="E49" i="14" l="1"/>
  <c r="C58" i="14" s="1"/>
  <c r="F191" i="14" s="1"/>
  <c r="E48" i="14"/>
  <c r="C57" i="14" s="1"/>
  <c r="F190" i="14" s="1"/>
  <c r="E47" i="14"/>
  <c r="C56" i="14" s="1"/>
  <c r="F189" i="14" s="1"/>
  <c r="E46" i="14"/>
  <c r="C55" i="14" s="1"/>
  <c r="F188" i="14" s="1"/>
  <c r="E51" i="14"/>
  <c r="C60" i="14" s="1"/>
  <c r="F193" i="14" s="1"/>
  <c r="E50" i="14"/>
  <c r="C59" i="14" s="1"/>
  <c r="F192" i="14" s="1"/>
  <c r="E52" i="14"/>
  <c r="C61" i="14" s="1"/>
  <c r="F194" i="14" s="1"/>
  <c r="T19" i="27"/>
  <c r="W19" i="27" s="1"/>
  <c r="T12" i="27"/>
  <c r="W12" i="27" s="1"/>
  <c r="T27" i="27"/>
  <c r="W27" i="27" s="1"/>
  <c r="T14" i="27"/>
  <c r="W14" i="27" s="1"/>
  <c r="T33" i="27"/>
  <c r="W33" i="27" s="1"/>
  <c r="T16" i="27"/>
  <c r="W16" i="27" s="1"/>
  <c r="T38" i="27"/>
  <c r="W38" i="27" s="1"/>
  <c r="T40" i="27"/>
  <c r="W40" i="27" s="1"/>
  <c r="T37" i="27"/>
  <c r="W37" i="27" s="1"/>
  <c r="T21" i="27"/>
  <c r="W21" i="27" s="1"/>
  <c r="T36" i="27"/>
  <c r="W36" i="27" s="1"/>
  <c r="T22" i="27"/>
  <c r="W22" i="27" s="1"/>
  <c r="T11" i="27"/>
  <c r="W11" i="27" s="1"/>
  <c r="T17" i="27"/>
  <c r="W17" i="27" s="1"/>
  <c r="T6" i="27"/>
  <c r="T28" i="27"/>
  <c r="W28" i="27" s="1"/>
  <c r="T25" i="27"/>
  <c r="W25" i="27" s="1"/>
  <c r="T15" i="27"/>
  <c r="W15" i="27" s="1"/>
  <c r="T26" i="27"/>
  <c r="W26" i="27" s="1"/>
  <c r="T35" i="27"/>
  <c r="W35" i="27" s="1"/>
  <c r="T13" i="27"/>
  <c r="W13" i="27" s="1"/>
  <c r="T31" i="27"/>
  <c r="W31" i="27" s="1"/>
  <c r="T29" i="27"/>
  <c r="W29" i="27" s="1"/>
  <c r="T10" i="27"/>
  <c r="W10" i="27" s="1"/>
  <c r="T8" i="27"/>
  <c r="W8" i="27" s="1"/>
  <c r="T7" i="27"/>
  <c r="W7" i="27" s="1"/>
  <c r="T42" i="27"/>
  <c r="W42" i="27" s="1"/>
  <c r="T20" i="27"/>
  <c r="W20" i="27" s="1"/>
  <c r="T24" i="27"/>
  <c r="W24" i="27" s="1"/>
  <c r="T30" i="27"/>
  <c r="W30" i="27" s="1"/>
  <c r="T23" i="27"/>
  <c r="W23" i="27" s="1"/>
  <c r="T34" i="27"/>
  <c r="W34" i="27" s="1"/>
  <c r="T39" i="27"/>
  <c r="W39" i="27" s="1"/>
  <c r="T18" i="27"/>
  <c r="W18" i="27" s="1"/>
  <c r="T9" i="27"/>
  <c r="W9" i="27" s="1"/>
  <c r="T41" i="27"/>
  <c r="W41" i="27" s="1"/>
  <c r="T32" i="27"/>
  <c r="W32" i="27" s="1"/>
  <c r="I190" i="14" l="1"/>
  <c r="N188" i="14" s="1"/>
  <c r="E33" i="27" s="1"/>
  <c r="L33" i="27" s="1"/>
  <c r="I191" i="14"/>
  <c r="I193" i="14"/>
  <c r="N195" i="14" s="1"/>
  <c r="E42" i="27" s="1"/>
  <c r="L42" i="27" s="1"/>
  <c r="I188" i="14"/>
  <c r="I192" i="14"/>
  <c r="N192" i="14" s="1"/>
  <c r="E25" i="27" s="1"/>
  <c r="F25" i="27" s="1"/>
  <c r="I189" i="14"/>
  <c r="W6" i="27"/>
  <c r="W43" i="27" s="1"/>
  <c r="J6" i="8" s="1"/>
  <c r="T43" i="27"/>
  <c r="N196" i="14" l="1"/>
  <c r="E40" i="27" s="1"/>
  <c r="F40" i="27" s="1"/>
  <c r="F33" i="27"/>
  <c r="K33" i="27"/>
  <c r="L25" i="27"/>
  <c r="K42" i="27"/>
  <c r="N42" i="27" s="1"/>
  <c r="R42" i="27" s="1"/>
  <c r="K25" i="27"/>
  <c r="F42" i="27"/>
  <c r="E43" i="27" l="1"/>
  <c r="E6" i="8" s="1"/>
  <c r="F6" i="8" s="1"/>
  <c r="P6" i="8" s="1"/>
  <c r="L40" i="27"/>
  <c r="L43" i="27" s="1"/>
  <c r="N33" i="27" s="1"/>
  <c r="R33" i="27" s="1"/>
  <c r="K40" i="27"/>
  <c r="K43" i="27" s="1"/>
  <c r="N30" i="27" s="1"/>
  <c r="R30" i="27" s="1"/>
  <c r="F43" i="27"/>
  <c r="N25" i="27"/>
  <c r="R25" i="27" s="1"/>
  <c r="O42" i="27"/>
  <c r="AA42" i="27"/>
  <c r="S42" i="27"/>
  <c r="N40" i="27" l="1"/>
  <c r="R40" i="27" s="1"/>
  <c r="AA40" i="27" s="1"/>
  <c r="O30" i="27"/>
  <c r="O25" i="27"/>
  <c r="O33" i="27"/>
  <c r="S25" i="27"/>
  <c r="AA25" i="27"/>
  <c r="S33" i="27"/>
  <c r="AA33" i="27"/>
  <c r="S30" i="27"/>
  <c r="AA30" i="27"/>
  <c r="U6" i="27" l="1" a="1"/>
  <c r="U7" i="27" s="1"/>
  <c r="R43" i="27"/>
  <c r="H6" i="8" s="1"/>
  <c r="I6" i="8" s="1"/>
  <c r="N43" i="27"/>
  <c r="S40" i="27"/>
  <c r="S43" i="27" s="1"/>
  <c r="O40" i="27"/>
  <c r="O43" i="27" s="1"/>
  <c r="AA43" i="27"/>
  <c r="AH47" i="27" s="1"/>
  <c r="AH49" i="27" s="1"/>
  <c r="U15" i="27" l="1"/>
  <c r="V15" i="27" s="1"/>
  <c r="U28" i="27"/>
  <c r="X28" i="27" s="1"/>
  <c r="Y28" i="27" s="1"/>
  <c r="U24" i="27"/>
  <c r="X24" i="27" s="1"/>
  <c r="Y24" i="27" s="1"/>
  <c r="U32" i="27"/>
  <c r="X32" i="27" s="1"/>
  <c r="Y32" i="27" s="1"/>
  <c r="U22" i="27"/>
  <c r="X22" i="27" s="1"/>
  <c r="Y22" i="27" s="1"/>
  <c r="U40" i="27"/>
  <c r="X40" i="27" s="1"/>
  <c r="Y40" i="27" s="1"/>
  <c r="U6" i="27"/>
  <c r="U8" i="27"/>
  <c r="X8" i="27" s="1"/>
  <c r="Y8" i="27" s="1"/>
  <c r="U10" i="27"/>
  <c r="V10" i="27" s="1"/>
  <c r="U18" i="27"/>
  <c r="X18" i="27" s="1"/>
  <c r="Y18" i="27" s="1"/>
  <c r="U26" i="27"/>
  <c r="V26" i="27" s="1"/>
  <c r="U19" i="27"/>
  <c r="X19" i="27" s="1"/>
  <c r="Y19" i="27" s="1"/>
  <c r="U12" i="27"/>
  <c r="X12" i="27" s="1"/>
  <c r="Y12" i="27" s="1"/>
  <c r="U17" i="27"/>
  <c r="X17" i="27" s="1"/>
  <c r="Y17" i="27" s="1"/>
  <c r="U14" i="27"/>
  <c r="X14" i="27" s="1"/>
  <c r="Y14" i="27" s="1"/>
  <c r="U37" i="27"/>
  <c r="X37" i="27" s="1"/>
  <c r="Y37" i="27" s="1"/>
  <c r="U25" i="27"/>
  <c r="X25" i="27" s="1"/>
  <c r="Y25" i="27" s="1"/>
  <c r="U31" i="27"/>
  <c r="X31" i="27" s="1"/>
  <c r="Y31" i="27" s="1"/>
  <c r="U35" i="27"/>
  <c r="V35" i="27" s="1"/>
  <c r="U20" i="27"/>
  <c r="X20" i="27" s="1"/>
  <c r="Y20" i="27" s="1"/>
  <c r="U30" i="27"/>
  <c r="X30" i="27" s="1"/>
  <c r="Y30" i="27" s="1"/>
  <c r="U13" i="27"/>
  <c r="X13" i="27" s="1"/>
  <c r="Y13" i="27" s="1"/>
  <c r="U42" i="27"/>
  <c r="X42" i="27" s="1"/>
  <c r="Y42" i="27" s="1"/>
  <c r="U16" i="27"/>
  <c r="X16" i="27" s="1"/>
  <c r="Y16" i="27" s="1"/>
  <c r="U23" i="27"/>
  <c r="X23" i="27" s="1"/>
  <c r="Y23" i="27" s="1"/>
  <c r="U36" i="27"/>
  <c r="X36" i="27" s="1"/>
  <c r="Y36" i="27" s="1"/>
  <c r="U41" i="27"/>
  <c r="X41" i="27" s="1"/>
  <c r="Y41" i="27" s="1"/>
  <c r="U33" i="27"/>
  <c r="X33" i="27" s="1"/>
  <c r="Y33" i="27" s="1"/>
  <c r="U9" i="27"/>
  <c r="V9" i="27" s="1"/>
  <c r="U39" i="27"/>
  <c r="X39" i="27" s="1"/>
  <c r="Y39" i="27" s="1"/>
  <c r="U27" i="27"/>
  <c r="V27" i="27" s="1"/>
  <c r="U21" i="27"/>
  <c r="X21" i="27" s="1"/>
  <c r="Y21" i="27" s="1"/>
  <c r="U29" i="27"/>
  <c r="X29" i="27" s="1"/>
  <c r="Y29" i="27" s="1"/>
  <c r="U34" i="27"/>
  <c r="V34" i="27" s="1"/>
  <c r="U11" i="27"/>
  <c r="X11" i="27" s="1"/>
  <c r="Y11" i="27" s="1"/>
  <c r="U38" i="27"/>
  <c r="X38" i="27" s="1"/>
  <c r="Y38" i="27" s="1"/>
  <c r="X7" i="27"/>
  <c r="Y7" i="27" s="1"/>
  <c r="V7" i="27"/>
  <c r="AB15" i="27"/>
  <c r="AC15" i="27" s="1"/>
  <c r="AB19" i="27"/>
  <c r="AC19" i="27" s="1"/>
  <c r="AB24" i="27"/>
  <c r="AC24" i="27" s="1"/>
  <c r="AB20" i="27"/>
  <c r="AC20" i="27" s="1"/>
  <c r="AB32" i="27"/>
  <c r="AC32" i="27" s="1"/>
  <c r="AB7" i="27"/>
  <c r="AC7" i="27" s="1"/>
  <c r="AB11" i="27"/>
  <c r="AC11" i="27" s="1"/>
  <c r="AB8" i="27"/>
  <c r="AC8" i="27" s="1"/>
  <c r="AB12" i="27"/>
  <c r="AC12" i="27" s="1"/>
  <c r="AB16" i="27"/>
  <c r="AC16" i="27" s="1"/>
  <c r="AB38" i="27"/>
  <c r="AC38" i="27" s="1"/>
  <c r="AB34" i="27"/>
  <c r="AC34" i="27" s="1"/>
  <c r="AB37" i="27"/>
  <c r="AC37" i="27" s="1"/>
  <c r="AB27" i="27"/>
  <c r="AC27" i="27" s="1"/>
  <c r="AB35" i="27"/>
  <c r="AC35" i="27" s="1"/>
  <c r="AB30" i="27"/>
  <c r="AC30" i="27" s="1"/>
  <c r="AB26" i="27"/>
  <c r="AC26" i="27" s="1"/>
  <c r="AB29" i="27"/>
  <c r="AC29" i="27" s="1"/>
  <c r="AB42" i="27"/>
  <c r="AC42" i="27" s="1"/>
  <c r="AB40" i="27"/>
  <c r="AC40" i="27" s="1"/>
  <c r="AB22" i="27"/>
  <c r="AC22" i="27" s="1"/>
  <c r="AB10" i="27"/>
  <c r="AC10" i="27" s="1"/>
  <c r="AB21" i="27"/>
  <c r="AC21" i="27" s="1"/>
  <c r="AB18" i="27"/>
  <c r="AC18" i="27" s="1"/>
  <c r="AB28" i="27"/>
  <c r="AC28" i="27" s="1"/>
  <c r="AB39" i="27"/>
  <c r="AC39" i="27" s="1"/>
  <c r="AB14" i="27"/>
  <c r="AC14" i="27" s="1"/>
  <c r="AB33" i="27"/>
  <c r="AC33" i="27" s="1"/>
  <c r="AB13" i="27"/>
  <c r="AC13" i="27" s="1"/>
  <c r="AB41" i="27"/>
  <c r="AC41" i="27" s="1"/>
  <c r="AB23" i="27"/>
  <c r="AC23" i="27" s="1"/>
  <c r="AB31" i="27"/>
  <c r="AC31" i="27" s="1"/>
  <c r="AB6" i="27"/>
  <c r="AB17" i="27"/>
  <c r="AC17" i="27" s="1"/>
  <c r="AB36" i="27"/>
  <c r="AC36" i="27" s="1"/>
  <c r="AB25" i="27"/>
  <c r="AC25" i="27" s="1"/>
  <c r="AB9" i="27"/>
  <c r="AC9" i="27" s="1"/>
  <c r="X9" i="27" l="1"/>
  <c r="Y9" i="27" s="1"/>
  <c r="V41" i="27"/>
  <c r="X35" i="27"/>
  <c r="Y35" i="27" s="1"/>
  <c r="V28" i="27"/>
  <c r="V11" i="27"/>
  <c r="V17" i="27"/>
  <c r="V19" i="27"/>
  <c r="X26" i="27"/>
  <c r="Y26" i="27" s="1"/>
  <c r="V22" i="27"/>
  <c r="V38" i="27"/>
  <c r="V13" i="27"/>
  <c r="V40" i="27"/>
  <c r="V16" i="27"/>
  <c r="V32" i="27"/>
  <c r="U43" i="27"/>
  <c r="X27" i="27"/>
  <c r="Y27" i="27" s="1"/>
  <c r="V42" i="27"/>
  <c r="V39" i="27"/>
  <c r="V33" i="27"/>
  <c r="V20" i="27"/>
  <c r="V24" i="27"/>
  <c r="V12" i="27"/>
  <c r="X6" i="27"/>
  <c r="Y6" i="27" s="1"/>
  <c r="V36" i="27"/>
  <c r="X10" i="27"/>
  <c r="Y10" i="27" s="1"/>
  <c r="X34" i="27"/>
  <c r="Y34" i="27" s="1"/>
  <c r="V23" i="27"/>
  <c r="V18" i="27"/>
  <c r="X15" i="27"/>
  <c r="Y15" i="27" s="1"/>
  <c r="V14" i="27"/>
  <c r="V29" i="27"/>
  <c r="V21" i="27"/>
  <c r="V25" i="27"/>
  <c r="V6" i="27"/>
  <c r="V37" i="27"/>
  <c r="V30" i="27"/>
  <c r="V31" i="27"/>
  <c r="V8" i="27"/>
  <c r="AC6" i="27"/>
  <c r="AB43" i="27"/>
  <c r="V43" i="27" l="1"/>
  <c r="Y43" i="27"/>
  <c r="X43" i="27"/>
  <c r="K6" i="8" s="1"/>
  <c r="L6" i="8" s="1"/>
  <c r="AC43" i="27"/>
  <c r="AD6" i="27" a="1"/>
  <c r="AD34" i="27" l="1"/>
  <c r="AE34" i="27" s="1"/>
  <c r="E38" i="8" s="1"/>
  <c r="AD26" i="27"/>
  <c r="AE26" i="27" s="1"/>
  <c r="E30" i="8" s="1"/>
  <c r="AD24" i="27"/>
  <c r="AE24" i="27" s="1"/>
  <c r="E28" i="8" s="1"/>
  <c r="AD42" i="27"/>
  <c r="AE42" i="27" s="1"/>
  <c r="E46" i="8" s="1"/>
  <c r="AD35" i="27"/>
  <c r="AE35" i="27" s="1"/>
  <c r="E39" i="8" s="1"/>
  <c r="AD22" i="27"/>
  <c r="AE22" i="27" s="1"/>
  <c r="E26" i="8" s="1"/>
  <c r="AD38" i="27"/>
  <c r="AE38" i="27" s="1"/>
  <c r="E42" i="8" s="1"/>
  <c r="AD23" i="27"/>
  <c r="AE23" i="27" s="1"/>
  <c r="E27" i="8" s="1"/>
  <c r="AD33" i="27"/>
  <c r="AE33" i="27" s="1"/>
  <c r="E37" i="8" s="1"/>
  <c r="AD40" i="27"/>
  <c r="AE40" i="27" s="1"/>
  <c r="E44" i="8" s="1"/>
  <c r="AD25" i="27"/>
  <c r="AE25" i="27" s="1"/>
  <c r="E29" i="8" s="1"/>
  <c r="AD19" i="27"/>
  <c r="AE19" i="27" s="1"/>
  <c r="E23" i="8" s="1"/>
  <c r="AD21" i="27"/>
  <c r="AE21" i="27" s="1"/>
  <c r="E25" i="8" s="1"/>
  <c r="AD16" i="27"/>
  <c r="AE16" i="27" s="1"/>
  <c r="E20" i="8" s="1"/>
  <c r="AD10" i="27"/>
  <c r="AE10" i="27" s="1"/>
  <c r="E14" i="8" s="1"/>
  <c r="AD27" i="27"/>
  <c r="AE27" i="27" s="1"/>
  <c r="E31" i="8" s="1"/>
  <c r="AD41" i="27"/>
  <c r="AE41" i="27" s="1"/>
  <c r="E45" i="8" s="1"/>
  <c r="AD39" i="27"/>
  <c r="AE39" i="27" s="1"/>
  <c r="E43" i="8" s="1"/>
  <c r="AD29" i="27"/>
  <c r="AE29" i="27" s="1"/>
  <c r="E33" i="8" s="1"/>
  <c r="AD11" i="27"/>
  <c r="AE11" i="27" s="1"/>
  <c r="E15" i="8" s="1"/>
  <c r="AD32" i="27"/>
  <c r="AE32" i="27" s="1"/>
  <c r="E36" i="8" s="1"/>
  <c r="AD20" i="27"/>
  <c r="AE20" i="27" s="1"/>
  <c r="E24" i="8" s="1"/>
  <c r="AD31" i="27"/>
  <c r="AE31" i="27" s="1"/>
  <c r="E35" i="8" s="1"/>
  <c r="AD15" i="27"/>
  <c r="AE15" i="27" s="1"/>
  <c r="E19" i="8" s="1"/>
  <c r="AD9" i="27"/>
  <c r="AE9" i="27" s="1"/>
  <c r="E13" i="8" s="1"/>
  <c r="AD28" i="27"/>
  <c r="AE28" i="27" s="1"/>
  <c r="E32" i="8" s="1"/>
  <c r="AD6" i="27"/>
  <c r="AD37" i="27"/>
  <c r="AE37" i="27" s="1"/>
  <c r="E41" i="8" s="1"/>
  <c r="AD36" i="27"/>
  <c r="AE36" i="27" s="1"/>
  <c r="E40" i="8" s="1"/>
  <c r="AD14" i="27"/>
  <c r="AE14" i="27" s="1"/>
  <c r="E18" i="8" s="1"/>
  <c r="AD12" i="27"/>
  <c r="AE12" i="27" s="1"/>
  <c r="E16" i="8" s="1"/>
  <c r="AD30" i="27"/>
  <c r="AE30" i="27" s="1"/>
  <c r="E34" i="8" s="1"/>
  <c r="AD7" i="27"/>
  <c r="AE7" i="27" s="1"/>
  <c r="E11" i="8" s="1"/>
  <c r="AD17" i="27"/>
  <c r="AE17" i="27" s="1"/>
  <c r="E21" i="8" s="1"/>
  <c r="AD13" i="27"/>
  <c r="AE13" i="27" s="1"/>
  <c r="E17" i="8" s="1"/>
  <c r="AD18" i="27"/>
  <c r="AE18" i="27" s="1"/>
  <c r="E22" i="8" s="1"/>
  <c r="AD8" i="27"/>
  <c r="AE8" i="27" s="1"/>
  <c r="E12" i="8" s="1"/>
  <c r="AD43" i="27" l="1"/>
  <c r="M6" i="8" s="1"/>
  <c r="AE6" i="27"/>
  <c r="AE43" i="27" l="1"/>
  <c r="N6" i="8" s="1"/>
  <c r="Q6" i="8" s="1"/>
  <c r="E10" i="8"/>
</calcChain>
</file>

<file path=xl/sharedStrings.xml><?xml version="1.0" encoding="utf-8"?>
<sst xmlns="http://schemas.openxmlformats.org/spreadsheetml/2006/main" count="1908" uniqueCount="632">
  <si>
    <t>県内</t>
    <rPh sb="0" eb="2">
      <t>ケンナイ</t>
    </rPh>
    <phoneticPr fontId="3"/>
  </si>
  <si>
    <t>県外</t>
    <rPh sb="0" eb="2">
      <t>ケンガイ</t>
    </rPh>
    <phoneticPr fontId="3"/>
  </si>
  <si>
    <t>日本人</t>
    <rPh sb="0" eb="3">
      <t>ニホンジン</t>
    </rPh>
    <phoneticPr fontId="3"/>
  </si>
  <si>
    <t>外国人</t>
    <rPh sb="0" eb="3">
      <t>ガイコクジン</t>
    </rPh>
    <phoneticPr fontId="3"/>
  </si>
  <si>
    <t>都道府県</t>
    <rPh sb="0" eb="4">
      <t>トドウフケン</t>
    </rPh>
    <phoneticPr fontId="3"/>
  </si>
  <si>
    <t>日本人</t>
    <rPh sb="0" eb="3">
      <t>ニホンジン</t>
    </rPh>
    <phoneticPr fontId="6"/>
  </si>
  <si>
    <t>外国人</t>
    <rPh sb="0" eb="3">
      <t>ガイコクジン</t>
    </rPh>
    <phoneticPr fontId="6"/>
  </si>
  <si>
    <t>県内</t>
    <rPh sb="0" eb="2">
      <t>ケンナイ</t>
    </rPh>
    <phoneticPr fontId="8"/>
  </si>
  <si>
    <t>県外</t>
    <rPh sb="0" eb="2">
      <t>ケンガイ</t>
    </rPh>
    <phoneticPr fontId="8"/>
  </si>
  <si>
    <t>宿泊</t>
    <rPh sb="0" eb="2">
      <t>シュクハク</t>
    </rPh>
    <phoneticPr fontId="8"/>
  </si>
  <si>
    <t>日帰り</t>
    <rPh sb="0" eb="2">
      <t>ヒガエ</t>
    </rPh>
    <phoneticPr fontId="8"/>
  </si>
  <si>
    <t>宿泊費</t>
    <rPh sb="0" eb="3">
      <t>シュクハクヒ</t>
    </rPh>
    <phoneticPr fontId="4"/>
  </si>
  <si>
    <t>飲食費</t>
    <rPh sb="0" eb="3">
      <t>インショクヒ</t>
    </rPh>
    <phoneticPr fontId="4"/>
  </si>
  <si>
    <t>交通費</t>
    <rPh sb="0" eb="3">
      <t>コウツウヒ</t>
    </rPh>
    <phoneticPr fontId="4"/>
  </si>
  <si>
    <t>買物代</t>
    <rPh sb="0" eb="1">
      <t>カ</t>
    </rPh>
    <rPh sb="1" eb="2">
      <t>モノ</t>
    </rPh>
    <rPh sb="2" eb="3">
      <t>ダイ</t>
    </rPh>
    <phoneticPr fontId="4"/>
  </si>
  <si>
    <t>その他</t>
    <rPh sb="2" eb="3">
      <t>ホカ</t>
    </rPh>
    <phoneticPr fontId="4"/>
  </si>
  <si>
    <t>団体・パックツアー料金</t>
    <rPh sb="0" eb="2">
      <t>ダンタイ</t>
    </rPh>
    <phoneticPr fontId="4"/>
  </si>
  <si>
    <t>娯楽等サービス費</t>
    <rPh sb="0" eb="2">
      <t>ゴラク</t>
    </rPh>
    <rPh sb="2" eb="3">
      <t>ナド</t>
    </rPh>
    <phoneticPr fontId="4"/>
  </si>
  <si>
    <t>宿泊</t>
    <rPh sb="0" eb="2">
      <t>シュクハク</t>
    </rPh>
    <phoneticPr fontId="3"/>
  </si>
  <si>
    <t>日帰り</t>
    <rPh sb="0" eb="2">
      <t>ヒガエ</t>
    </rPh>
    <phoneticPr fontId="3"/>
  </si>
  <si>
    <t>総来場者数</t>
    <rPh sb="0" eb="5">
      <t>ソウライ</t>
    </rPh>
    <phoneticPr fontId="3"/>
  </si>
  <si>
    <t>➡ ➡ 人数換算 ➡ ➡</t>
    <rPh sb="4" eb="6">
      <t>ニンズウ</t>
    </rPh>
    <rPh sb="6" eb="8">
      <t>カンサン</t>
    </rPh>
    <phoneticPr fontId="3"/>
  </si>
  <si>
    <t>■主に事業が行われた都道府県を選択してください。</t>
    <rPh sb="1" eb="2">
      <t>オモ</t>
    </rPh>
    <rPh sb="3" eb="5">
      <t>ジギョウ</t>
    </rPh>
    <rPh sb="6" eb="7">
      <t>オコナ</t>
    </rPh>
    <rPh sb="10" eb="14">
      <t>トドウフケン</t>
    </rPh>
    <rPh sb="15" eb="17">
      <t>センタク</t>
    </rPh>
    <phoneticPr fontId="3"/>
  </si>
  <si>
    <t>■事業の総来場者数を記載してください。（単位：人）</t>
    <rPh sb="1" eb="3">
      <t>ジギョウ</t>
    </rPh>
    <rPh sb="4" eb="9">
      <t>ソウライ</t>
    </rPh>
    <rPh sb="10" eb="12">
      <t>キサイ</t>
    </rPh>
    <phoneticPr fontId="3"/>
  </si>
  <si>
    <t>■来場者アンケートの集計に基づく、それぞれの平均額を記載してください。（単位：円）</t>
    <rPh sb="1" eb="4">
      <t>ライジョウシャ</t>
    </rPh>
    <rPh sb="10" eb="12">
      <t>シュウケイ</t>
    </rPh>
    <rPh sb="13" eb="14">
      <t>モト</t>
    </rPh>
    <rPh sb="22" eb="24">
      <t>ヘイキン</t>
    </rPh>
    <rPh sb="24" eb="25">
      <t>ガク</t>
    </rPh>
    <rPh sb="26" eb="28">
      <t>キサイ</t>
    </rPh>
    <rPh sb="39" eb="40">
      <t>エン</t>
    </rPh>
    <phoneticPr fontId="3"/>
  </si>
  <si>
    <t>■来場者アンケートの結果を基に、各区分の来場者の割合を全体が100%となるように記載してください。（単位：%）</t>
    <rPh sb="13" eb="14">
      <t>モト</t>
    </rPh>
    <phoneticPr fontId="3"/>
  </si>
  <si>
    <t>来場者支出算出シート（パターン②）</t>
    <rPh sb="0" eb="3">
      <t>ライジョウシャ</t>
    </rPh>
    <rPh sb="3" eb="5">
      <t>シシュツ</t>
    </rPh>
    <rPh sb="5" eb="7">
      <t>サンシュツ</t>
    </rPh>
    <phoneticPr fontId="3"/>
  </si>
  <si>
    <t>来場者支出算出シート（パターン①）</t>
    <rPh sb="0" eb="3">
      <t>ライジョウシャ</t>
    </rPh>
    <rPh sb="3" eb="5">
      <t>シシュツ</t>
    </rPh>
    <rPh sb="5" eb="7">
      <t>サンシュツ</t>
    </rPh>
    <phoneticPr fontId="3"/>
  </si>
  <si>
    <t>来場者支出算出シート（パターン③）</t>
    <rPh sb="0" eb="3">
      <t>ライジョウシャ</t>
    </rPh>
    <rPh sb="3" eb="5">
      <t>シシュツ</t>
    </rPh>
    <rPh sb="5" eb="7">
      <t>サンシュツ</t>
    </rPh>
    <phoneticPr fontId="3"/>
  </si>
  <si>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</si>
  <si>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</si>
  <si>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</si>
  <si>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</si>
  <si>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</si>
  <si>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</si>
  <si>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</si>
  <si>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</si>
  <si>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</si>
  <si>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</si>
  <si>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</si>
  <si>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</si>
  <si>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</si>
  <si>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</si>
  <si>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</si>
  <si>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</si>
  <si>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</si>
  <si>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</si>
  <si>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</si>
  <si>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</si>
  <si>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</si>
  <si>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</si>
  <si>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</si>
  <si>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</si>
  <si>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</si>
  <si>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</si>
  <si>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</si>
  <si>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</si>
  <si>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</si>
  <si>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</si>
  <si>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</si>
  <si>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</si>
  <si>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</si>
  <si>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</si>
  <si>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</si>
  <si>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</si>
  <si>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</si>
  <si>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</si>
  <si>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</si>
  <si>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</si>
  <si>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</si>
  <si>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</si>
  <si>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</si>
  <si>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</si>
  <si>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</si>
  <si>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</si>
  <si>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</si>
  <si>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（単位：倍）</t>
    <rPh sb="1" eb="3">
      <t>タンイ</t>
    </rPh>
    <rPh sb="4" eb="5">
      <t>バイ</t>
    </rPh>
    <phoneticPr fontId="6"/>
  </si>
  <si>
    <t>B</t>
    <phoneticPr fontId="6"/>
  </si>
  <si>
    <t>C</t>
    <phoneticPr fontId="6"/>
  </si>
  <si>
    <t>D</t>
    <phoneticPr fontId="6"/>
  </si>
  <si>
    <t>E</t>
    <phoneticPr fontId="6"/>
  </si>
  <si>
    <t>F</t>
    <phoneticPr fontId="6"/>
  </si>
  <si>
    <t>G</t>
    <phoneticPr fontId="6"/>
  </si>
  <si>
    <t>H</t>
    <phoneticPr fontId="6"/>
  </si>
  <si>
    <t>I</t>
    <phoneticPr fontId="6"/>
  </si>
  <si>
    <t>J</t>
    <phoneticPr fontId="6"/>
  </si>
  <si>
    <t>K</t>
    <phoneticPr fontId="6"/>
  </si>
  <si>
    <t>L</t>
    <phoneticPr fontId="6"/>
  </si>
  <si>
    <t>M</t>
    <phoneticPr fontId="6"/>
  </si>
  <si>
    <t>支出額・消費額</t>
    <rPh sb="0" eb="3">
      <t>シシュツガク</t>
    </rPh>
    <rPh sb="4" eb="7">
      <t>ショウヒガク</t>
    </rPh>
    <phoneticPr fontId="6"/>
  </si>
  <si>
    <t>直接効果</t>
    <rPh sb="0" eb="2">
      <t>チョクセツ</t>
    </rPh>
    <rPh sb="2" eb="4">
      <t>コウカ</t>
    </rPh>
    <phoneticPr fontId="6"/>
  </si>
  <si>
    <t>一次波及効果</t>
    <rPh sb="0" eb="2">
      <t>イチジ</t>
    </rPh>
    <rPh sb="2" eb="6">
      <t>ハキュウ</t>
    </rPh>
    <phoneticPr fontId="6"/>
  </si>
  <si>
    <t>二次
波及
効果</t>
    <rPh sb="0" eb="2">
      <t>ニジ</t>
    </rPh>
    <rPh sb="3" eb="5">
      <t>ハキュウ</t>
    </rPh>
    <rPh sb="6" eb="8">
      <t>コウカ</t>
    </rPh>
    <phoneticPr fontId="6"/>
  </si>
  <si>
    <t>波及
効果
合計</t>
    <rPh sb="0" eb="2">
      <t>ハキュウ</t>
    </rPh>
    <rPh sb="3" eb="5">
      <t>コウカ</t>
    </rPh>
    <rPh sb="6" eb="8">
      <t>ゴウケイ</t>
    </rPh>
    <phoneticPr fontId="6"/>
  </si>
  <si>
    <t>支出額・消費額/主催者支出</t>
    <rPh sb="0" eb="3">
      <t>シシュツガク</t>
    </rPh>
    <rPh sb="4" eb="7">
      <t>ショウヒガク</t>
    </rPh>
    <rPh sb="8" eb="11">
      <t>シュサイシャ</t>
    </rPh>
    <rPh sb="11" eb="13">
      <t>シシュツ</t>
    </rPh>
    <phoneticPr fontId="6"/>
  </si>
  <si>
    <t>波及効果合計/主催者支出</t>
    <rPh sb="0" eb="4">
      <t>ハ</t>
    </rPh>
    <rPh sb="4" eb="6">
      <t>ゴウケイ</t>
    </rPh>
    <rPh sb="7" eb="10">
      <t>シュサイシャ</t>
    </rPh>
    <rPh sb="10" eb="12">
      <t>シシュツ</t>
    </rPh>
    <phoneticPr fontId="6"/>
  </si>
  <si>
    <t>主催者
支出</t>
    <rPh sb="0" eb="3">
      <t>シュサイシャ</t>
    </rPh>
    <rPh sb="4" eb="6">
      <t>シシュツ</t>
    </rPh>
    <phoneticPr fontId="6"/>
  </si>
  <si>
    <t>来場者
消費</t>
    <phoneticPr fontId="6"/>
  </si>
  <si>
    <t>計</t>
    <rPh sb="0" eb="1">
      <t>ケイ</t>
    </rPh>
    <phoneticPr fontId="6"/>
  </si>
  <si>
    <t>外国人の割合</t>
    <rPh sb="0" eb="4">
      <t>ガイコクジンオ</t>
    </rPh>
    <rPh sb="4" eb="6">
      <t>ワリアイ</t>
    </rPh>
    <phoneticPr fontId="3"/>
  </si>
  <si>
    <t>■来場者アンケート以外の方法でより正確に外国人の割合を集計している場合、外国人の割合を記載してください。（単位：%）</t>
    <rPh sb="1" eb="4">
      <t>ライジョウシャ</t>
    </rPh>
    <rPh sb="9" eb="11">
      <t>イガイ</t>
    </rPh>
    <rPh sb="12" eb="14">
      <t>ホウホウ</t>
    </rPh>
    <rPh sb="17" eb="19">
      <t>セイカク</t>
    </rPh>
    <rPh sb="20" eb="24">
      <t>ガイコクジンオ</t>
    </rPh>
    <rPh sb="24" eb="26">
      <t>ワリアイ</t>
    </rPh>
    <rPh sb="27" eb="29">
      <t>シュウケイ</t>
    </rPh>
    <rPh sb="33" eb="35">
      <t>バアイ</t>
    </rPh>
    <rPh sb="36" eb="40">
      <t>ガイコクジンオ</t>
    </rPh>
    <rPh sb="40" eb="42">
      <t>ワリアイ</t>
    </rPh>
    <rPh sb="43" eb="45">
      <t>キサイ</t>
    </rPh>
    <rPh sb="53" eb="55">
      <t>タンイ</t>
    </rPh>
    <phoneticPr fontId="3"/>
  </si>
  <si>
    <t>※把握していない場合は空欄のままにしておいてください。</t>
    <rPh sb="1" eb="3">
      <t>ハアク</t>
    </rPh>
    <rPh sb="8" eb="10">
      <t>バアイ</t>
    </rPh>
    <rPh sb="11" eb="13">
      <t>クウラン</t>
    </rPh>
    <phoneticPr fontId="3"/>
  </si>
  <si>
    <t>➡ ➡ 割合修正➡ ➡</t>
    <rPh sb="4" eb="6">
      <t>ワリアイ</t>
    </rPh>
    <rPh sb="6" eb="8">
      <t>シュウセイ</t>
    </rPh>
    <phoneticPr fontId="3"/>
  </si>
  <si>
    <t>※同日複数会場を訪問した際などのダブルカウントを除いた数字を記載してください。</t>
    <rPh sb="1" eb="3">
      <t>ドウジツ</t>
    </rPh>
    <rPh sb="3" eb="5">
      <t>フクスウ</t>
    </rPh>
    <rPh sb="5" eb="7">
      <t>カイジョウ</t>
    </rPh>
    <rPh sb="8" eb="10">
      <t>ホウモン</t>
    </rPh>
    <rPh sb="12" eb="13">
      <t>サイ</t>
    </rPh>
    <rPh sb="24" eb="25">
      <t>ノゾ</t>
    </rPh>
    <rPh sb="27" eb="29">
      <t>スウジ</t>
    </rPh>
    <rPh sb="30" eb="32">
      <t>キサイ</t>
    </rPh>
    <phoneticPr fontId="3"/>
  </si>
  <si>
    <t>■外国人の割合を記載してください。（単位：%）</t>
    <rPh sb="1" eb="5">
      <t>ガイコクジンオ</t>
    </rPh>
    <rPh sb="5" eb="7">
      <t>ワリアイ</t>
    </rPh>
    <rPh sb="8" eb="10">
      <t>キサイ</t>
    </rPh>
    <rPh sb="18" eb="20">
      <t>タンイ</t>
    </rPh>
    <phoneticPr fontId="3"/>
  </si>
  <si>
    <t>➡ ➡ 人数推計➡ ➡</t>
    <rPh sb="4" eb="6">
      <t>ニンズウ</t>
    </rPh>
    <rPh sb="6" eb="8">
      <t>スイケイ</t>
    </rPh>
    <phoneticPr fontId="3"/>
  </si>
  <si>
    <t>※日本博共通アンケートご利用の場合は、フィードバックシートの記載内容を参考にしてください。</t>
    <rPh sb="12" eb="14">
      <t>リヨウ</t>
    </rPh>
    <phoneticPr fontId="3"/>
  </si>
  <si>
    <t>■来場者アンケートの結果等を基に、各区分の来場者の割合を全体が100%となるように記載してください。（単位：%）</t>
    <rPh sb="12" eb="13">
      <t>トウ</t>
    </rPh>
    <rPh sb="14" eb="15">
      <t>モト</t>
    </rPh>
    <phoneticPr fontId="3"/>
  </si>
  <si>
    <t>パターン①</t>
    <phoneticPr fontId="3"/>
  </si>
  <si>
    <t>採択区分</t>
    <rPh sb="0" eb="2">
      <t>サイタク</t>
    </rPh>
    <rPh sb="2" eb="4">
      <t>クブン</t>
    </rPh>
    <phoneticPr fontId="3"/>
  </si>
  <si>
    <t>来場者支出パターン</t>
    <rPh sb="0" eb="3">
      <t>ライジョウシャ</t>
    </rPh>
    <rPh sb="3" eb="5">
      <t>シシュツ</t>
    </rPh>
    <phoneticPr fontId="3"/>
  </si>
  <si>
    <t>パターン②</t>
    <phoneticPr fontId="3"/>
  </si>
  <si>
    <t>パターン③</t>
    <phoneticPr fontId="3"/>
  </si>
  <si>
    <t>主催・共催型</t>
  </si>
  <si>
    <t>地域ゆかりの文化資産を活用した展覧会支援事業</t>
  </si>
  <si>
    <t>■日本博事業の採択区分と消費者消費額の推計パターンを選択してください。</t>
    <rPh sb="1" eb="4">
      <t>ニホンハク</t>
    </rPh>
    <rPh sb="4" eb="6">
      <t>ジギョウ</t>
    </rPh>
    <rPh sb="7" eb="9">
      <t>サイタク</t>
    </rPh>
    <rPh sb="9" eb="11">
      <t>クブン</t>
    </rPh>
    <rPh sb="12" eb="15">
      <t>ショウヒシャ</t>
    </rPh>
    <rPh sb="15" eb="17">
      <t>ショウヒ</t>
    </rPh>
    <rPh sb="17" eb="18">
      <t>ガク</t>
    </rPh>
    <rPh sb="19" eb="21">
      <t>スイケイ</t>
    </rPh>
    <rPh sb="26" eb="28">
      <t>センタク</t>
    </rPh>
    <phoneticPr fontId="3"/>
  </si>
  <si>
    <t>※外国人割合の推測も難しい場合は空欄のままにしておいてください。</t>
    <rPh sb="1" eb="4">
      <t>ガイコクジン</t>
    </rPh>
    <rPh sb="4" eb="6">
      <t>ワリアイ</t>
    </rPh>
    <rPh sb="7" eb="9">
      <t>スイソク</t>
    </rPh>
    <rPh sb="10" eb="11">
      <t>ムズカ</t>
    </rPh>
    <rPh sb="13" eb="15">
      <t>バアイ</t>
    </rPh>
    <phoneticPr fontId="3"/>
  </si>
  <si>
    <t>■人数</t>
    <rPh sb="1" eb="3">
      <t>ニンズウ</t>
    </rPh>
    <phoneticPr fontId="3"/>
  </si>
  <si>
    <t>■単価</t>
    <rPh sb="1" eb="3">
      <t>タンカ</t>
    </rPh>
    <phoneticPr fontId="3"/>
  </si>
  <si>
    <t>都道府県</t>
    <rPh sb="0" eb="4">
      <t>トドウフケン</t>
    </rPh>
    <phoneticPr fontId="8"/>
  </si>
  <si>
    <t>青森を適用</t>
    <rPh sb="0" eb="2">
      <t>アオモリ</t>
    </rPh>
    <rPh sb="3" eb="5">
      <t>テキヨウ</t>
    </rPh>
    <phoneticPr fontId="8"/>
  </si>
  <si>
    <t>2020年</t>
    <rPh sb="4" eb="5">
      <t>ネン</t>
    </rPh>
    <phoneticPr fontId="8"/>
  </si>
  <si>
    <t>2019年</t>
    <rPh sb="4" eb="5">
      <t>ネン</t>
    </rPh>
    <phoneticPr fontId="8"/>
  </si>
  <si>
    <t>客数は令和2年東京都観光客数等実態調査、単価は神奈川を適用</t>
    <rPh sb="0" eb="2">
      <t>キャクスウ</t>
    </rPh>
    <rPh sb="20" eb="22">
      <t>タンカ</t>
    </rPh>
    <rPh sb="23" eb="26">
      <t>カナガワ</t>
    </rPh>
    <rPh sb="27" eb="29">
      <t>テキヨウ</t>
    </rPh>
    <phoneticPr fontId="6"/>
  </si>
  <si>
    <t>富山を適用</t>
    <rPh sb="0" eb="2">
      <t>トヤマ</t>
    </rPh>
    <rPh sb="3" eb="5">
      <t>テキヨウ</t>
    </rPh>
    <phoneticPr fontId="8"/>
  </si>
  <si>
    <t>愛知を適用</t>
    <rPh sb="0" eb="2">
      <t>アイチ</t>
    </rPh>
    <rPh sb="3" eb="5">
      <t>テキヨウ</t>
    </rPh>
    <phoneticPr fontId="8"/>
  </si>
  <si>
    <t>島根を適用</t>
    <rPh sb="0" eb="2">
      <t>シマネ</t>
    </rPh>
    <rPh sb="3" eb="5">
      <t>テキヨウ</t>
    </rPh>
    <phoneticPr fontId="8"/>
  </si>
  <si>
    <t>2018年</t>
    <rPh sb="4" eb="5">
      <t>ネン</t>
    </rPh>
    <phoneticPr fontId="8"/>
  </si>
  <si>
    <t>愛媛を適用</t>
    <rPh sb="0" eb="2">
      <t>エヒメ</t>
    </rPh>
    <rPh sb="3" eb="5">
      <t>テキヨウ</t>
    </rPh>
    <phoneticPr fontId="8"/>
  </si>
  <si>
    <t>鹿児島を適用</t>
    <rPh sb="0" eb="3">
      <t>カゴシマ</t>
    </rPh>
    <rPh sb="4" eb="6">
      <t>テキヨウ</t>
    </rPh>
    <phoneticPr fontId="8"/>
  </si>
  <si>
    <t>費目別（7区分）</t>
    <rPh sb="0" eb="3">
      <t>ヒモクベツ</t>
    </rPh>
    <rPh sb="5" eb="7">
      <t>クブン</t>
    </rPh>
    <phoneticPr fontId="3"/>
  </si>
  <si>
    <t>宿泊費</t>
    <rPh sb="0" eb="3">
      <t>シュクハクヒ</t>
    </rPh>
    <phoneticPr fontId="3"/>
  </si>
  <si>
    <t>飲食費</t>
    <rPh sb="0" eb="3">
      <t>インショクヒ</t>
    </rPh>
    <phoneticPr fontId="3"/>
  </si>
  <si>
    <t>交通費</t>
    <rPh sb="0" eb="3">
      <t>コウツウヒ</t>
    </rPh>
    <phoneticPr fontId="3"/>
  </si>
  <si>
    <t>買物代</t>
    <rPh sb="0" eb="1">
      <t>カ</t>
    </rPh>
    <rPh sb="1" eb="2">
      <t>モノ</t>
    </rPh>
    <rPh sb="2" eb="3">
      <t>ダイ</t>
    </rPh>
    <phoneticPr fontId="3"/>
  </si>
  <si>
    <t>その他</t>
    <rPh sb="2" eb="3">
      <t>ホカ</t>
    </rPh>
    <phoneticPr fontId="3"/>
  </si>
  <si>
    <t>訪問地</t>
    <rPh sb="0" eb="3">
      <t>ホウモンチ</t>
    </rPh>
    <phoneticPr fontId="3"/>
  </si>
  <si>
    <t>都道府県間交通費</t>
    <rPh sb="0" eb="4">
      <t>トドウフケン</t>
    </rPh>
    <rPh sb="4" eb="5">
      <t>カン</t>
    </rPh>
    <rPh sb="5" eb="8">
      <t>コウツウヒ</t>
    </rPh>
    <phoneticPr fontId="3"/>
  </si>
  <si>
    <t>-</t>
  </si>
  <si>
    <t>（単位：万円／人）</t>
    <rPh sb="1" eb="3">
      <t>タンイ</t>
    </rPh>
    <rPh sb="4" eb="5">
      <t>マン</t>
    </rPh>
    <rPh sb="5" eb="6">
      <t>エン</t>
    </rPh>
    <rPh sb="7" eb="8">
      <t>ヒト</t>
    </rPh>
    <phoneticPr fontId="3"/>
  </si>
  <si>
    <t>備考</t>
    <rPh sb="0" eb="2">
      <t>ビコウ</t>
    </rPh>
    <phoneticPr fontId="3"/>
  </si>
  <si>
    <t>日本人</t>
    <rPh sb="0" eb="2">
      <t>ニホン</t>
    </rPh>
    <phoneticPr fontId="3"/>
  </si>
  <si>
    <t>観光入込客数（千人回）</t>
    <rPh sb="0" eb="2">
      <t>カンコウ</t>
    </rPh>
    <rPh sb="2" eb="4">
      <t>イリコミ</t>
    </rPh>
    <rPh sb="4" eb="5">
      <t>キャク</t>
    </rPh>
    <rPh sb="5" eb="6">
      <t>スウ</t>
    </rPh>
    <rPh sb="7" eb="9">
      <t>センニン</t>
    </rPh>
    <rPh sb="9" eb="10">
      <t>カイ</t>
    </rPh>
    <phoneticPr fontId="8"/>
  </si>
  <si>
    <t>観光消費額単価（円/人回）</t>
    <rPh sb="0" eb="2">
      <t>カンコウ</t>
    </rPh>
    <rPh sb="2" eb="5">
      <t>ショウヒガク</t>
    </rPh>
    <rPh sb="5" eb="7">
      <t>タンカ</t>
    </rPh>
    <rPh sb="8" eb="9">
      <t>エン</t>
    </rPh>
    <rPh sb="10" eb="11">
      <t>ニン</t>
    </rPh>
    <rPh sb="11" eb="12">
      <t>カイ</t>
    </rPh>
    <phoneticPr fontId="8"/>
  </si>
  <si>
    <r>
      <t>三大都市圏</t>
    </r>
    <r>
      <rPr>
        <vertAlign val="superscript"/>
        <sz val="9"/>
        <color theme="1"/>
        <rFont val="Meiryo UI"/>
        <family val="3"/>
        <charset val="128"/>
      </rPr>
      <t xml:space="preserve">注2 </t>
    </r>
    <r>
      <rPr>
        <sz val="9"/>
        <color theme="1"/>
        <rFont val="Meiryo UI"/>
        <family val="3"/>
        <charset val="128"/>
      </rPr>
      <t>平均</t>
    </r>
    <rPh sb="0" eb="1">
      <t>サン</t>
    </rPh>
    <rPh sb="1" eb="5">
      <t>ダイトシケン</t>
    </rPh>
    <rPh sb="5" eb="6">
      <t>チュウ</t>
    </rPh>
    <rPh sb="8" eb="10">
      <t>ヘイキン</t>
    </rPh>
    <phoneticPr fontId="3"/>
  </si>
  <si>
    <r>
      <t>その他の地方</t>
    </r>
    <r>
      <rPr>
        <vertAlign val="superscript"/>
        <sz val="9"/>
        <color theme="1"/>
        <rFont val="Meiryo UI"/>
        <family val="3"/>
        <charset val="128"/>
      </rPr>
      <t xml:space="preserve">注2 </t>
    </r>
    <r>
      <rPr>
        <sz val="9"/>
        <color theme="1"/>
        <rFont val="Meiryo UI"/>
        <family val="3"/>
        <charset val="128"/>
      </rPr>
      <t>平均</t>
    </r>
    <rPh sb="2" eb="3">
      <t>ホカ</t>
    </rPh>
    <rPh sb="4" eb="6">
      <t>チホウ</t>
    </rPh>
    <rPh sb="6" eb="7">
      <t>チュウ</t>
    </rPh>
    <phoneticPr fontId="3"/>
  </si>
  <si>
    <t>消費単価</t>
    <rPh sb="0" eb="2">
      <t>ショウヒ</t>
    </rPh>
    <rPh sb="2" eb="4">
      <t>タンカ</t>
    </rPh>
    <phoneticPr fontId="3"/>
  </si>
  <si>
    <t>団体・パックツアー料金</t>
    <rPh sb="0" eb="2">
      <t>ダンタイ</t>
    </rPh>
    <phoneticPr fontId="3"/>
  </si>
  <si>
    <t>娯楽等サービス費</t>
    <rPh sb="0" eb="2">
      <t>ゴラク</t>
    </rPh>
    <rPh sb="2" eb="3">
      <t>ナド</t>
    </rPh>
    <phoneticPr fontId="3"/>
  </si>
  <si>
    <t>団体･パック参加費</t>
    <rPh sb="0" eb="2">
      <t>ダンタイ</t>
    </rPh>
    <phoneticPr fontId="3"/>
  </si>
  <si>
    <t>日本人</t>
    <rPh sb="0" eb="3">
      <t>ニホン</t>
    </rPh>
    <phoneticPr fontId="3"/>
  </si>
  <si>
    <t>外国人</t>
    <rPh sb="0" eb="3">
      <t>ガイ</t>
    </rPh>
    <phoneticPr fontId="3"/>
  </si>
  <si>
    <t>入込数</t>
    <rPh sb="0" eb="1">
      <t>イ</t>
    </rPh>
    <rPh sb="1" eb="2">
      <t>コ</t>
    </rPh>
    <rPh sb="2" eb="3">
      <t>スウ</t>
    </rPh>
    <phoneticPr fontId="3"/>
  </si>
  <si>
    <t>割合</t>
    <rPh sb="0" eb="2">
      <t>ワリアイ</t>
    </rPh>
    <phoneticPr fontId="3"/>
  </si>
  <si>
    <t>推計</t>
    <rPh sb="0" eb="2">
      <t>スイケイ</t>
    </rPh>
    <phoneticPr fontId="3"/>
  </si>
  <si>
    <t>-</t>
    <phoneticPr fontId="3"/>
  </si>
  <si>
    <t>■合計額</t>
    <rPh sb="1" eb="4">
      <t>ゴウケイガク</t>
    </rPh>
    <phoneticPr fontId="3"/>
  </si>
  <si>
    <t>合計</t>
    <rPh sb="0" eb="2">
      <t>ゴウケイ</t>
    </rPh>
    <phoneticPr fontId="3"/>
  </si>
  <si>
    <t>日本人＋外国人</t>
    <rPh sb="0" eb="3">
      <t>ニホンジン</t>
    </rPh>
    <rPh sb="4" eb="7">
      <t>ガイコクジン</t>
    </rPh>
    <phoneticPr fontId="3"/>
  </si>
  <si>
    <t>来場者数＋来場者支出</t>
    <rPh sb="0" eb="4">
      <t>ライジョウシャスウ</t>
    </rPh>
    <rPh sb="5" eb="8">
      <t>ライジョウシャ</t>
    </rPh>
    <rPh sb="8" eb="10">
      <t>シシュツ</t>
    </rPh>
    <phoneticPr fontId="3"/>
  </si>
  <si>
    <t>来場者数（人）</t>
    <rPh sb="0" eb="4">
      <t>ライジョウシャスウ</t>
    </rPh>
    <rPh sb="5" eb="6">
      <t>ニン</t>
    </rPh>
    <phoneticPr fontId="6"/>
  </si>
  <si>
    <t>02. 共済費・保険料</t>
  </si>
  <si>
    <t>03. 報償費</t>
  </si>
  <si>
    <t>04. 旅費</t>
  </si>
  <si>
    <t>05. 使用料及び借料</t>
  </si>
  <si>
    <t>06. 役務費</t>
  </si>
  <si>
    <t>07. 委託費</t>
  </si>
  <si>
    <t>08. 需用費</t>
  </si>
  <si>
    <t>09. 補助金</t>
  </si>
  <si>
    <t>報償費</t>
    <rPh sb="0" eb="3">
      <t>ホウショウヒ</t>
    </rPh>
    <phoneticPr fontId="6"/>
  </si>
  <si>
    <t>旅費</t>
    <rPh sb="0" eb="2">
      <t>リョヒ</t>
    </rPh>
    <phoneticPr fontId="6"/>
  </si>
  <si>
    <t>全体内訳</t>
    <rPh sb="0" eb="2">
      <t>ゼンタイ</t>
    </rPh>
    <rPh sb="2" eb="4">
      <t>ウチ</t>
    </rPh>
    <phoneticPr fontId="6"/>
  </si>
  <si>
    <t>賃金</t>
    <rPh sb="0" eb="2">
      <t>チンギン</t>
    </rPh>
    <phoneticPr fontId="6"/>
  </si>
  <si>
    <t>諸謝金</t>
    <rPh sb="0" eb="3">
      <t>ショシャキン</t>
    </rPh>
    <phoneticPr fontId="6"/>
  </si>
  <si>
    <t>借損料</t>
    <phoneticPr fontId="6"/>
  </si>
  <si>
    <t>消耗品費</t>
    <phoneticPr fontId="6"/>
  </si>
  <si>
    <t>会議費</t>
    <phoneticPr fontId="6"/>
  </si>
  <si>
    <t>通信運搬費</t>
    <phoneticPr fontId="6"/>
  </si>
  <si>
    <t>雑役務費</t>
    <phoneticPr fontId="6"/>
  </si>
  <si>
    <t>保険料</t>
    <phoneticPr fontId="6"/>
  </si>
  <si>
    <t>備品費</t>
    <phoneticPr fontId="6"/>
  </si>
  <si>
    <t>一般管理費</t>
    <phoneticPr fontId="6"/>
  </si>
  <si>
    <t>再委託費</t>
    <phoneticPr fontId="6"/>
  </si>
  <si>
    <t>再々委託費</t>
    <phoneticPr fontId="6"/>
  </si>
  <si>
    <t>賃金・コーディネーター料</t>
    <phoneticPr fontId="6"/>
  </si>
  <si>
    <t>共済費・保険料</t>
    <phoneticPr fontId="6"/>
  </si>
  <si>
    <t>報償費</t>
    <phoneticPr fontId="6"/>
  </si>
  <si>
    <t>旅費</t>
    <phoneticPr fontId="6"/>
  </si>
  <si>
    <t>使用料及び借料</t>
    <phoneticPr fontId="6"/>
  </si>
  <si>
    <t>役務費</t>
    <phoneticPr fontId="6"/>
  </si>
  <si>
    <t>委託費</t>
    <phoneticPr fontId="6"/>
  </si>
  <si>
    <t>需用費</t>
    <phoneticPr fontId="6"/>
  </si>
  <si>
    <t>補助金</t>
    <phoneticPr fontId="6"/>
  </si>
  <si>
    <t>賃金・コーディネーター料</t>
    <rPh sb="0" eb="2">
      <t>チンギン</t>
    </rPh>
    <rPh sb="11" eb="12">
      <t>リョウ</t>
    </rPh>
    <phoneticPr fontId="16"/>
  </si>
  <si>
    <t>共済費・保険料</t>
    <rPh sb="0" eb="2">
      <t>キョウサイ</t>
    </rPh>
    <rPh sb="2" eb="3">
      <t>ヒ</t>
    </rPh>
    <rPh sb="4" eb="7">
      <t>ホケンリョウ</t>
    </rPh>
    <phoneticPr fontId="16"/>
  </si>
  <si>
    <t>報償費</t>
    <rPh sb="0" eb="3">
      <t>ホウショウヒ</t>
    </rPh>
    <phoneticPr fontId="16"/>
  </si>
  <si>
    <t>旅費</t>
    <rPh sb="0" eb="2">
      <t>リョヒ</t>
    </rPh>
    <phoneticPr fontId="16"/>
  </si>
  <si>
    <t>使用料及び借料</t>
    <rPh sb="0" eb="3">
      <t>シヨウリョウ</t>
    </rPh>
    <rPh sb="3" eb="4">
      <t>オヨ</t>
    </rPh>
    <phoneticPr fontId="16"/>
  </si>
  <si>
    <t>役務費</t>
    <rPh sb="0" eb="3">
      <t>エキムヒ</t>
    </rPh>
    <phoneticPr fontId="16"/>
  </si>
  <si>
    <t>委託費</t>
    <rPh sb="0" eb="2">
      <t>イタク</t>
    </rPh>
    <rPh sb="2" eb="3">
      <t>ヒ</t>
    </rPh>
    <phoneticPr fontId="16"/>
  </si>
  <si>
    <t>需要費</t>
    <rPh sb="0" eb="2">
      <t>ジュヨウ</t>
    </rPh>
    <rPh sb="2" eb="3">
      <t>ヒ</t>
    </rPh>
    <phoneticPr fontId="16"/>
  </si>
  <si>
    <t>補助金</t>
    <rPh sb="0" eb="3">
      <t>ホジョキン</t>
    </rPh>
    <phoneticPr fontId="16"/>
  </si>
  <si>
    <t>一般管理費</t>
    <rPh sb="0" eb="5">
      <t>イッパンカ</t>
    </rPh>
    <phoneticPr fontId="6"/>
  </si>
  <si>
    <t>出演費</t>
    <rPh sb="0" eb="2">
      <t>シュツエン</t>
    </rPh>
    <rPh sb="2" eb="3">
      <t>ヒ</t>
    </rPh>
    <phoneticPr fontId="17"/>
  </si>
  <si>
    <t>音楽費</t>
    <rPh sb="0" eb="2">
      <t>オンガク</t>
    </rPh>
    <rPh sb="2" eb="3">
      <t>ヒ</t>
    </rPh>
    <phoneticPr fontId="17"/>
  </si>
  <si>
    <t>文芸費</t>
    <rPh sb="0" eb="3">
      <t>ブンゲイヒ</t>
    </rPh>
    <phoneticPr fontId="17"/>
  </si>
  <si>
    <t>舞台費</t>
    <rPh sb="0" eb="2">
      <t>ブタイ</t>
    </rPh>
    <rPh sb="2" eb="3">
      <t>ヒ</t>
    </rPh>
    <phoneticPr fontId="17"/>
  </si>
  <si>
    <t>作品借料</t>
    <rPh sb="0" eb="2">
      <t>サクヒン</t>
    </rPh>
    <rPh sb="2" eb="4">
      <t>シャクリョウ</t>
    </rPh>
    <phoneticPr fontId="17"/>
  </si>
  <si>
    <t>上映費</t>
    <rPh sb="0" eb="2">
      <t>ジョウエイ</t>
    </rPh>
    <rPh sb="2" eb="3">
      <t>ヒ</t>
    </rPh>
    <phoneticPr fontId="17"/>
  </si>
  <si>
    <t>会場費</t>
    <rPh sb="0" eb="3">
      <t>カイジョウヒ</t>
    </rPh>
    <phoneticPr fontId="17"/>
  </si>
  <si>
    <t>運搬費</t>
    <rPh sb="0" eb="3">
      <t>ウンパンヒ</t>
    </rPh>
    <phoneticPr fontId="17"/>
  </si>
  <si>
    <t>賃金・共済費</t>
    <rPh sb="0" eb="2">
      <t>チンギン</t>
    </rPh>
    <rPh sb="3" eb="6">
      <t>キョウサイヒ</t>
    </rPh>
    <phoneticPr fontId="17"/>
  </si>
  <si>
    <t>旅費</t>
    <rPh sb="0" eb="2">
      <t>リョヒ</t>
    </rPh>
    <phoneticPr fontId="17"/>
  </si>
  <si>
    <t>報償費</t>
    <rPh sb="0" eb="3">
      <t>ホウショウヒ</t>
    </rPh>
    <phoneticPr fontId="17"/>
  </si>
  <si>
    <t>雑役務費</t>
    <rPh sb="0" eb="1">
      <t>ザツ</t>
    </rPh>
    <rPh sb="1" eb="4">
      <t>エキムヒ</t>
    </rPh>
    <phoneticPr fontId="17"/>
  </si>
  <si>
    <t>消耗品費</t>
    <rPh sb="0" eb="3">
      <t>ショウモウヒン</t>
    </rPh>
    <rPh sb="3" eb="4">
      <t>ヒ</t>
    </rPh>
    <phoneticPr fontId="17"/>
  </si>
  <si>
    <t>通信費</t>
    <rPh sb="0" eb="2">
      <t>ツウシン</t>
    </rPh>
    <phoneticPr fontId="17"/>
  </si>
  <si>
    <t>会議費</t>
    <rPh sb="0" eb="3">
      <t>カイギヒ</t>
    </rPh>
    <phoneticPr fontId="17"/>
  </si>
  <si>
    <t>委託費</t>
    <rPh sb="0" eb="3">
      <t>イタクヒ</t>
    </rPh>
    <phoneticPr fontId="17"/>
  </si>
  <si>
    <t>補助金</t>
    <rPh sb="0" eb="3">
      <t>ホジョキン</t>
    </rPh>
    <phoneticPr fontId="17"/>
  </si>
  <si>
    <t>出演費</t>
    <rPh sb="0" eb="2">
      <t>シュツエン</t>
    </rPh>
    <rPh sb="2" eb="3">
      <t>ヒ</t>
    </rPh>
    <phoneticPr fontId="6"/>
  </si>
  <si>
    <t>音楽費</t>
    <rPh sb="0" eb="2">
      <t>オンガク</t>
    </rPh>
    <rPh sb="2" eb="3">
      <t>ヒ</t>
    </rPh>
    <phoneticPr fontId="6"/>
  </si>
  <si>
    <t>文芸費</t>
    <rPh sb="0" eb="3">
      <t>ブンゲイヒ</t>
    </rPh>
    <phoneticPr fontId="6"/>
  </si>
  <si>
    <t>舞台費</t>
    <rPh sb="0" eb="2">
      <t>ブタイ</t>
    </rPh>
    <rPh sb="2" eb="3">
      <t>ヒ</t>
    </rPh>
    <phoneticPr fontId="6"/>
  </si>
  <si>
    <t>作品借料</t>
    <rPh sb="0" eb="2">
      <t>サクヒン</t>
    </rPh>
    <rPh sb="2" eb="4">
      <t>シャクリョウ</t>
    </rPh>
    <phoneticPr fontId="6"/>
  </si>
  <si>
    <t>上映費</t>
    <rPh sb="0" eb="2">
      <t>ジョウエイ</t>
    </rPh>
    <rPh sb="2" eb="3">
      <t>ヒ</t>
    </rPh>
    <phoneticPr fontId="6"/>
  </si>
  <si>
    <t>会場費</t>
    <rPh sb="0" eb="3">
      <t>カイジョウヒ</t>
    </rPh>
    <phoneticPr fontId="6"/>
  </si>
  <si>
    <t>運搬費</t>
    <rPh sb="0" eb="3">
      <t>ウンパンヒ</t>
    </rPh>
    <phoneticPr fontId="6"/>
  </si>
  <si>
    <t>賃金・共済費</t>
    <rPh sb="0" eb="2">
      <t>チンギン</t>
    </rPh>
    <rPh sb="3" eb="6">
      <t>キョウサイヒ</t>
    </rPh>
    <phoneticPr fontId="6"/>
  </si>
  <si>
    <t>雑役務費</t>
    <rPh sb="0" eb="1">
      <t>ザツ</t>
    </rPh>
    <rPh sb="1" eb="4">
      <t>エキムヒ</t>
    </rPh>
    <phoneticPr fontId="6"/>
  </si>
  <si>
    <t>消耗品費</t>
    <rPh sb="0" eb="3">
      <t>ショウモウヒン</t>
    </rPh>
    <rPh sb="3" eb="4">
      <t>ヒ</t>
    </rPh>
    <phoneticPr fontId="6"/>
  </si>
  <si>
    <t>通信費</t>
    <rPh sb="0" eb="2">
      <t>ツウシン</t>
    </rPh>
    <phoneticPr fontId="6"/>
  </si>
  <si>
    <t>会議費</t>
    <rPh sb="0" eb="3">
      <t>カイギヒ</t>
    </rPh>
    <phoneticPr fontId="6"/>
  </si>
  <si>
    <t>その他</t>
    <rPh sb="2" eb="3">
      <t>タ</t>
    </rPh>
    <phoneticPr fontId="2"/>
  </si>
  <si>
    <t>委託費・補助金</t>
    <rPh sb="0" eb="3">
      <t>イタクヒ</t>
    </rPh>
    <rPh sb="4" eb="7">
      <t>ホジョキン</t>
    </rPh>
    <phoneticPr fontId="17"/>
  </si>
  <si>
    <t>その他</t>
    <rPh sb="2" eb="3">
      <t>タ</t>
    </rPh>
    <phoneticPr fontId="18"/>
  </si>
  <si>
    <t>委託費等</t>
    <rPh sb="0" eb="3">
      <t>イタクヒ</t>
    </rPh>
    <rPh sb="3" eb="4">
      <t>トウ</t>
    </rPh>
    <phoneticPr fontId="19"/>
  </si>
  <si>
    <t>主催者支出算出シート（主催・共催型）</t>
    <rPh sb="0" eb="3">
      <t>シュサイシャ</t>
    </rPh>
    <rPh sb="3" eb="5">
      <t>シシュツ</t>
    </rPh>
    <rPh sb="5" eb="7">
      <t>サンシュツ</t>
    </rPh>
    <rPh sb="11" eb="13">
      <t>シュサイ</t>
    </rPh>
    <rPh sb="14" eb="16">
      <t>キョウサイ</t>
    </rPh>
    <rPh sb="16" eb="17">
      <t>ガタ</t>
    </rPh>
    <phoneticPr fontId="3"/>
  </si>
  <si>
    <t>諸謝金</t>
    <rPh sb="0" eb="3">
      <t>ショシャキン</t>
    </rPh>
    <phoneticPr fontId="5"/>
  </si>
  <si>
    <t>旅費</t>
    <rPh sb="0" eb="2">
      <t>リョヒ</t>
    </rPh>
    <phoneticPr fontId="5"/>
  </si>
  <si>
    <t>借損料</t>
  </si>
  <si>
    <t>消耗品費</t>
  </si>
  <si>
    <t>会議費</t>
  </si>
  <si>
    <t>通信運搬費</t>
  </si>
  <si>
    <t>雑役務費</t>
  </si>
  <si>
    <t>保険料</t>
  </si>
  <si>
    <t>備品費</t>
  </si>
  <si>
    <t>一般管理費</t>
  </si>
  <si>
    <t>再委託費</t>
  </si>
  <si>
    <t>消費税相当額</t>
    <rPh sb="0" eb="6">
      <t>ショウヒゼイソウトウガク</t>
    </rPh>
    <phoneticPr fontId="5"/>
  </si>
  <si>
    <t>支出</t>
    <rPh sb="0" eb="2">
      <t>シシュツ</t>
    </rPh>
    <phoneticPr fontId="5"/>
  </si>
  <si>
    <t>人件費</t>
    <rPh sb="0" eb="3">
      <t>ジンケンヒ</t>
    </rPh>
    <phoneticPr fontId="3"/>
  </si>
  <si>
    <t>賃金</t>
  </si>
  <si>
    <t>賃金</t>
    <rPh sb="0" eb="2">
      <t>チンギン</t>
    </rPh>
    <phoneticPr fontId="3"/>
  </si>
  <si>
    <t>事業費</t>
    <rPh sb="0" eb="3">
      <t>ジギョウヒ</t>
    </rPh>
    <phoneticPr fontId="3"/>
  </si>
  <si>
    <t>イノベーション型</t>
    <phoneticPr fontId="3"/>
  </si>
  <si>
    <t>主催者支出算出シート（イノベーション型）</t>
    <rPh sb="0" eb="3">
      <t>シュサイシャ</t>
    </rPh>
    <rPh sb="3" eb="5">
      <t>シシュツ</t>
    </rPh>
    <rPh sb="5" eb="7">
      <t>サンシュツ</t>
    </rPh>
    <rPh sb="18" eb="19">
      <t>ガタ</t>
    </rPh>
    <phoneticPr fontId="3"/>
  </si>
  <si>
    <t>支出の部</t>
    <rPh sb="0" eb="2">
      <t>シシュツ</t>
    </rPh>
    <rPh sb="3" eb="4">
      <t>ブ</t>
    </rPh>
    <phoneticPr fontId="5"/>
  </si>
  <si>
    <t>補助対象経費</t>
    <rPh sb="0" eb="2">
      <t>ホジョ</t>
    </rPh>
    <rPh sb="2" eb="4">
      <t>タイショウ</t>
    </rPh>
    <rPh sb="4" eb="6">
      <t>ケイヒ</t>
    </rPh>
    <phoneticPr fontId="3"/>
  </si>
  <si>
    <t>01. 賃金・コーディネーター料</t>
  </si>
  <si>
    <t>補助対象外経費　(B)</t>
    <rPh sb="0" eb="2">
      <t>ホジョ</t>
    </rPh>
    <rPh sb="2" eb="4">
      <t>タイショウ</t>
    </rPh>
    <rPh sb="4" eb="5">
      <t>ガイ</t>
    </rPh>
    <rPh sb="5" eb="7">
      <t>ケイヒ</t>
    </rPh>
    <phoneticPr fontId="3"/>
  </si>
  <si>
    <t>賃金・コーディネーター料</t>
    <rPh sb="0" eb="2">
      <t>チンギン</t>
    </rPh>
    <rPh sb="11" eb="12">
      <t>リョウ</t>
    </rPh>
    <phoneticPr fontId="6"/>
  </si>
  <si>
    <t>共済費・保険料</t>
    <rPh sb="0" eb="2">
      <t>キョウサイ</t>
    </rPh>
    <rPh sb="2" eb="3">
      <t>ヒ</t>
    </rPh>
    <rPh sb="4" eb="7">
      <t>ホケンリョウ</t>
    </rPh>
    <phoneticPr fontId="6"/>
  </si>
  <si>
    <t>使用料及び借料</t>
    <rPh sb="0" eb="3">
      <t>シヨウリョウ</t>
    </rPh>
    <rPh sb="3" eb="4">
      <t>オヨ</t>
    </rPh>
    <phoneticPr fontId="6"/>
  </si>
  <si>
    <t>役務費</t>
    <rPh sb="0" eb="3">
      <t>エキムヒ</t>
    </rPh>
    <phoneticPr fontId="6"/>
  </si>
  <si>
    <t>委託費</t>
    <rPh sb="0" eb="2">
      <t>イタク</t>
    </rPh>
    <rPh sb="2" eb="3">
      <t>ヒ</t>
    </rPh>
    <phoneticPr fontId="6"/>
  </si>
  <si>
    <t>需要費</t>
    <rPh sb="0" eb="2">
      <t>ジュヨウ</t>
    </rPh>
    <rPh sb="2" eb="3">
      <t>ヒ</t>
    </rPh>
    <phoneticPr fontId="6"/>
  </si>
  <si>
    <t>補助金</t>
    <rPh sb="0" eb="3">
      <t>ホジョキン</t>
    </rPh>
    <phoneticPr fontId="6"/>
  </si>
  <si>
    <t>一般管理費</t>
    <rPh sb="0" eb="5">
      <t>イッパンカ</t>
    </rPh>
    <phoneticPr fontId="5"/>
  </si>
  <si>
    <t>■「事業報告書」の「F-6補助金内訳」タブにおける次の費目の「合計」の値を記載してください。（単位：円）</t>
    <rPh sb="2" eb="7">
      <t>ジギョウホウコクショ</t>
    </rPh>
    <rPh sb="25" eb="26">
      <t>ツギ</t>
    </rPh>
    <rPh sb="27" eb="29">
      <t>ヒモク</t>
    </rPh>
    <rPh sb="31" eb="33">
      <t>ゴウケイ</t>
    </rPh>
    <rPh sb="35" eb="36">
      <t>アタイ</t>
    </rPh>
    <rPh sb="37" eb="39">
      <t>キサイ</t>
    </rPh>
    <rPh sb="47" eb="49">
      <t>タンイ</t>
    </rPh>
    <rPh sb="50" eb="51">
      <t>エン</t>
    </rPh>
    <phoneticPr fontId="3"/>
  </si>
  <si>
    <t>文化資源活用推進事業</t>
    <phoneticPr fontId="3"/>
  </si>
  <si>
    <t>主催者支出算出シート（文化資源活用推進事業）</t>
    <rPh sb="0" eb="3">
      <t>シュサイシャ</t>
    </rPh>
    <rPh sb="3" eb="5">
      <t>シシュツ</t>
    </rPh>
    <rPh sb="5" eb="7">
      <t>サンシュツ</t>
    </rPh>
    <rPh sb="11" eb="13">
      <t>ブンカ</t>
    </rPh>
    <rPh sb="13" eb="15">
      <t>シゲン</t>
    </rPh>
    <rPh sb="15" eb="17">
      <t>カツヨウ</t>
    </rPh>
    <rPh sb="17" eb="19">
      <t>スイシン</t>
    </rPh>
    <rPh sb="19" eb="21">
      <t>ジギョウ</t>
    </rPh>
    <phoneticPr fontId="3"/>
  </si>
  <si>
    <t>■「収支決算書」の「収支決算書」タブにおける次の費目の「決算額」を記載してください。（単位：円）</t>
    <rPh sb="2" eb="4">
      <t>シュウシ</t>
    </rPh>
    <rPh sb="4" eb="7">
      <t>ケッサンショ</t>
    </rPh>
    <rPh sb="10" eb="15">
      <t>シュウシ</t>
    </rPh>
    <rPh sb="22" eb="23">
      <t>ツギ</t>
    </rPh>
    <rPh sb="24" eb="26">
      <t>ヒモク</t>
    </rPh>
    <rPh sb="28" eb="31">
      <t>ケッサンガク</t>
    </rPh>
    <rPh sb="33" eb="35">
      <t>キサイ</t>
    </rPh>
    <rPh sb="43" eb="45">
      <t>タンイ</t>
    </rPh>
    <rPh sb="46" eb="47">
      <t>エン</t>
    </rPh>
    <phoneticPr fontId="3"/>
  </si>
  <si>
    <t>出演費</t>
    <rPh sb="0" eb="2">
      <t>シュツエン</t>
    </rPh>
    <rPh sb="2" eb="3">
      <t>ヒ</t>
    </rPh>
    <phoneticPr fontId="7"/>
  </si>
  <si>
    <t>音楽費</t>
    <rPh sb="0" eb="2">
      <t>オンガク</t>
    </rPh>
    <rPh sb="2" eb="3">
      <t>ヒ</t>
    </rPh>
    <phoneticPr fontId="7"/>
  </si>
  <si>
    <t>文芸費</t>
    <rPh sb="0" eb="3">
      <t>ブンゲイヒ</t>
    </rPh>
    <phoneticPr fontId="7"/>
  </si>
  <si>
    <t>舞台費</t>
    <rPh sb="0" eb="2">
      <t>ブタイ</t>
    </rPh>
    <rPh sb="2" eb="3">
      <t>ヒ</t>
    </rPh>
    <phoneticPr fontId="7"/>
  </si>
  <si>
    <t>作品借料</t>
    <rPh sb="0" eb="2">
      <t>サクヒン</t>
    </rPh>
    <rPh sb="2" eb="4">
      <t>シャクリョウ</t>
    </rPh>
    <phoneticPr fontId="7"/>
  </si>
  <si>
    <t>上映費</t>
    <rPh sb="0" eb="2">
      <t>ジョウエイ</t>
    </rPh>
    <rPh sb="2" eb="3">
      <t>ヒ</t>
    </rPh>
    <phoneticPr fontId="7"/>
  </si>
  <si>
    <t>会場費</t>
    <rPh sb="0" eb="3">
      <t>カイジョウヒ</t>
    </rPh>
    <phoneticPr fontId="7"/>
  </si>
  <si>
    <t>運搬費</t>
    <rPh sb="0" eb="3">
      <t>ウンパンヒ</t>
    </rPh>
    <phoneticPr fontId="7"/>
  </si>
  <si>
    <t>賃金・共済費</t>
    <rPh sb="0" eb="2">
      <t>チンギン</t>
    </rPh>
    <rPh sb="3" eb="6">
      <t>キョウサイヒ</t>
    </rPh>
    <phoneticPr fontId="7"/>
  </si>
  <si>
    <t>旅費</t>
    <rPh sb="0" eb="2">
      <t>リョヒ</t>
    </rPh>
    <phoneticPr fontId="7"/>
  </si>
  <si>
    <t>報償費</t>
    <rPh sb="0" eb="3">
      <t>ホウショウヒ</t>
    </rPh>
    <phoneticPr fontId="7"/>
  </si>
  <si>
    <t>雑役務費</t>
    <rPh sb="0" eb="1">
      <t>ザツ</t>
    </rPh>
    <rPh sb="1" eb="4">
      <t>エキムヒ</t>
    </rPh>
    <phoneticPr fontId="7"/>
  </si>
  <si>
    <t>消耗品費</t>
    <rPh sb="0" eb="3">
      <t>ショウモウヒン</t>
    </rPh>
    <rPh sb="3" eb="4">
      <t>ヒ</t>
    </rPh>
    <phoneticPr fontId="7"/>
  </si>
  <si>
    <t>通信費</t>
    <rPh sb="0" eb="2">
      <t>ツウシン</t>
    </rPh>
    <phoneticPr fontId="7"/>
  </si>
  <si>
    <t>会議費</t>
    <rPh sb="0" eb="3">
      <t>カイギヒ</t>
    </rPh>
    <phoneticPr fontId="7"/>
  </si>
  <si>
    <t>委託費・補助金</t>
  </si>
  <si>
    <t>委託費</t>
    <rPh sb="0" eb="3">
      <t>イタクヒ</t>
    </rPh>
    <phoneticPr fontId="7"/>
  </si>
  <si>
    <t>補助金</t>
    <rPh sb="0" eb="3">
      <t>ホジョキン</t>
    </rPh>
    <phoneticPr fontId="7"/>
  </si>
  <si>
    <t>出演・音楽・文芸費</t>
    <rPh sb="0" eb="2">
      <t>シュツエン</t>
    </rPh>
    <rPh sb="3" eb="5">
      <t>オンガク</t>
    </rPh>
    <rPh sb="6" eb="9">
      <t>ブンゲイヒ</t>
    </rPh>
    <phoneticPr fontId="7"/>
  </si>
  <si>
    <t>舞台・会場・設営費</t>
    <rPh sb="0" eb="2">
      <t>ブタイ</t>
    </rPh>
    <rPh sb="3" eb="5">
      <t>カイジョウ</t>
    </rPh>
    <rPh sb="6" eb="8">
      <t>セツエイ</t>
    </rPh>
    <rPh sb="8" eb="9">
      <t>ヒ</t>
    </rPh>
    <phoneticPr fontId="7"/>
  </si>
  <si>
    <t>賃金・旅費・報償費</t>
    <rPh sb="0" eb="2">
      <t>チンギン</t>
    </rPh>
    <rPh sb="3" eb="5">
      <t>リョヒ</t>
    </rPh>
    <rPh sb="6" eb="8">
      <t>ホウショウ</t>
    </rPh>
    <rPh sb="8" eb="9">
      <t>ヒ</t>
    </rPh>
    <phoneticPr fontId="7"/>
  </si>
  <si>
    <t>雑役務費・消耗品費等</t>
    <rPh sb="0" eb="1">
      <t>ザツ</t>
    </rPh>
    <rPh sb="1" eb="4">
      <t>エキムヒ</t>
    </rPh>
    <rPh sb="5" eb="8">
      <t>ショウモウヒン</t>
    </rPh>
    <rPh sb="8" eb="9">
      <t>ヒ</t>
    </rPh>
    <rPh sb="9" eb="10">
      <t>トウ</t>
    </rPh>
    <phoneticPr fontId="7"/>
  </si>
  <si>
    <t>委託費・補助金</t>
    <phoneticPr fontId="3"/>
  </si>
  <si>
    <t>出演費</t>
    <rPh sb="0" eb="2">
      <t>シュツエン</t>
    </rPh>
    <rPh sb="2" eb="3">
      <t>ヒ</t>
    </rPh>
    <phoneticPr fontId="5"/>
  </si>
  <si>
    <t>音楽費</t>
    <rPh sb="0" eb="2">
      <t>オンガク</t>
    </rPh>
    <rPh sb="2" eb="3">
      <t>ヒ</t>
    </rPh>
    <phoneticPr fontId="5"/>
  </si>
  <si>
    <t>文芸費</t>
    <rPh sb="0" eb="3">
      <t>ブンゲイヒ</t>
    </rPh>
    <phoneticPr fontId="5"/>
  </si>
  <si>
    <t>舞台費</t>
    <rPh sb="0" eb="2">
      <t>ブタイ</t>
    </rPh>
    <rPh sb="2" eb="3">
      <t>ヒ</t>
    </rPh>
    <phoneticPr fontId="5"/>
  </si>
  <si>
    <t>作品借料</t>
    <rPh sb="0" eb="2">
      <t>サクヒン</t>
    </rPh>
    <rPh sb="2" eb="4">
      <t>シャクリョウ</t>
    </rPh>
    <phoneticPr fontId="5"/>
  </si>
  <si>
    <t>上映費</t>
    <rPh sb="0" eb="2">
      <t>ジョウエイ</t>
    </rPh>
    <rPh sb="2" eb="3">
      <t>ヒ</t>
    </rPh>
    <phoneticPr fontId="5"/>
  </si>
  <si>
    <t>会場費</t>
    <rPh sb="0" eb="3">
      <t>カイジョウヒ</t>
    </rPh>
    <phoneticPr fontId="5"/>
  </si>
  <si>
    <t>運搬費</t>
    <rPh sb="0" eb="3">
      <t>ウンパンヒ</t>
    </rPh>
    <phoneticPr fontId="5"/>
  </si>
  <si>
    <t>賃金・共済費</t>
    <rPh sb="0" eb="2">
      <t>チンギン</t>
    </rPh>
    <rPh sb="3" eb="6">
      <t>キョウサイヒ</t>
    </rPh>
    <phoneticPr fontId="5"/>
  </si>
  <si>
    <t>報償費</t>
    <rPh sb="0" eb="3">
      <t>ホウショウヒ</t>
    </rPh>
    <phoneticPr fontId="5"/>
  </si>
  <si>
    <t>雑役務費</t>
    <rPh sb="0" eb="1">
      <t>ザツ</t>
    </rPh>
    <rPh sb="1" eb="4">
      <t>エキムヒ</t>
    </rPh>
    <phoneticPr fontId="5"/>
  </si>
  <si>
    <t>消耗品費</t>
    <rPh sb="0" eb="3">
      <t>ショウモウヒン</t>
    </rPh>
    <rPh sb="3" eb="4">
      <t>ヒ</t>
    </rPh>
    <phoneticPr fontId="5"/>
  </si>
  <si>
    <t>通信費</t>
    <rPh sb="0" eb="2">
      <t>ツウシン</t>
    </rPh>
    <phoneticPr fontId="5"/>
  </si>
  <si>
    <t>会議費</t>
    <rPh sb="0" eb="3">
      <t>カイギヒ</t>
    </rPh>
    <phoneticPr fontId="5"/>
  </si>
  <si>
    <t>その他</t>
    <rPh sb="2" eb="3">
      <t>タ</t>
    </rPh>
    <phoneticPr fontId="8"/>
  </si>
  <si>
    <t>委託費・補助金</t>
    <rPh sb="0" eb="3">
      <t>イタクヒ</t>
    </rPh>
    <rPh sb="4" eb="7">
      <t>ホジョキン</t>
    </rPh>
    <phoneticPr fontId="7"/>
  </si>
  <si>
    <t>出演・音楽・文芸費</t>
    <rPh sb="0" eb="2">
      <t>シュツエン</t>
    </rPh>
    <rPh sb="3" eb="5">
      <t>オンガク</t>
    </rPh>
    <rPh sb="6" eb="9">
      <t>ブンゲイヒ</t>
    </rPh>
    <phoneticPr fontId="3"/>
  </si>
  <si>
    <t>舞台・会場・設営費</t>
    <rPh sb="0" eb="2">
      <t>ブタイ</t>
    </rPh>
    <rPh sb="3" eb="5">
      <t>カイジョウ</t>
    </rPh>
    <rPh sb="6" eb="8">
      <t>セツエイ</t>
    </rPh>
    <rPh sb="8" eb="9">
      <t>ヒ</t>
    </rPh>
    <phoneticPr fontId="3"/>
  </si>
  <si>
    <t>賃金・旅費・報償費</t>
    <rPh sb="0" eb="2">
      <t>チンギン</t>
    </rPh>
    <rPh sb="3" eb="5">
      <t>リョヒ</t>
    </rPh>
    <rPh sb="6" eb="8">
      <t>ホウショウ</t>
    </rPh>
    <rPh sb="8" eb="9">
      <t>ヒ</t>
    </rPh>
    <phoneticPr fontId="3"/>
  </si>
  <si>
    <t>雑役務費・消耗品費等</t>
    <rPh sb="0" eb="1">
      <t>ザツ</t>
    </rPh>
    <rPh sb="1" eb="4">
      <t>エキムヒ</t>
    </rPh>
    <rPh sb="5" eb="8">
      <t>ショウモウヒン</t>
    </rPh>
    <rPh sb="8" eb="9">
      <t>ヒ</t>
    </rPh>
    <rPh sb="9" eb="10">
      <t>トウ</t>
    </rPh>
    <phoneticPr fontId="3"/>
  </si>
  <si>
    <t>国際的文化フェスティバル展開推進事業</t>
    <phoneticPr fontId="3"/>
  </si>
  <si>
    <t>主催者支出算出シート（国際的文化フェスティバル展開推進事業）</t>
    <rPh sb="0" eb="3">
      <t>シュサイシャ</t>
    </rPh>
    <rPh sb="3" eb="5">
      <t>シシュツ</t>
    </rPh>
    <rPh sb="5" eb="7">
      <t>サンシュツ</t>
    </rPh>
    <rPh sb="11" eb="14">
      <t>コクサイテキ</t>
    </rPh>
    <rPh sb="14" eb="16">
      <t>ブンカ</t>
    </rPh>
    <rPh sb="23" eb="25">
      <t>テンカイ</t>
    </rPh>
    <rPh sb="25" eb="27">
      <t>スイシン</t>
    </rPh>
    <rPh sb="27" eb="29">
      <t>ジギョウ</t>
    </rPh>
    <phoneticPr fontId="3"/>
  </si>
  <si>
    <t>■「収支決算書」の「収支決算書」タブにおける次の費目の「決算額」を記載してください。（単位：円）</t>
    <rPh sb="2" eb="7">
      <t>シュウシケッ</t>
    </rPh>
    <rPh sb="10" eb="15">
      <t>シュウシケ</t>
    </rPh>
    <rPh sb="22" eb="23">
      <t>ツギ</t>
    </rPh>
    <rPh sb="24" eb="26">
      <t>ヒモク</t>
    </rPh>
    <rPh sb="28" eb="31">
      <t>ケッサンガ</t>
    </rPh>
    <rPh sb="33" eb="35">
      <t>キサイ</t>
    </rPh>
    <rPh sb="43" eb="45">
      <t>タンイ</t>
    </rPh>
    <rPh sb="46" eb="47">
      <t>エン</t>
    </rPh>
    <phoneticPr fontId="3"/>
  </si>
  <si>
    <t>出演費</t>
    <rPh sb="0" eb="2">
      <t>シュツエン</t>
    </rPh>
    <rPh sb="2" eb="3">
      <t>ヒ</t>
    </rPh>
    <phoneticPr fontId="8"/>
  </si>
  <si>
    <t>音楽費</t>
    <rPh sb="0" eb="2">
      <t>オンガク</t>
    </rPh>
    <rPh sb="2" eb="3">
      <t>ヒ</t>
    </rPh>
    <phoneticPr fontId="8"/>
  </si>
  <si>
    <t>文芸費</t>
    <rPh sb="0" eb="3">
      <t>ブンゲイヒ</t>
    </rPh>
    <phoneticPr fontId="8"/>
  </si>
  <si>
    <t>舞台費</t>
    <rPh sb="0" eb="2">
      <t>ブタイ</t>
    </rPh>
    <rPh sb="2" eb="3">
      <t>ヒ</t>
    </rPh>
    <phoneticPr fontId="8"/>
  </si>
  <si>
    <t>作品借料</t>
    <rPh sb="0" eb="2">
      <t>サクヒン</t>
    </rPh>
    <rPh sb="2" eb="4">
      <t>シャクリョウ</t>
    </rPh>
    <phoneticPr fontId="8"/>
  </si>
  <si>
    <t>上映費</t>
    <rPh sb="0" eb="2">
      <t>ジョウエイ</t>
    </rPh>
    <rPh sb="2" eb="3">
      <t>ヒ</t>
    </rPh>
    <phoneticPr fontId="8"/>
  </si>
  <si>
    <t>会場費</t>
    <rPh sb="0" eb="3">
      <t>カイジョウヒ</t>
    </rPh>
    <phoneticPr fontId="8"/>
  </si>
  <si>
    <t>運搬費</t>
    <rPh sb="0" eb="3">
      <t>ウンパンヒ</t>
    </rPh>
    <phoneticPr fontId="8"/>
  </si>
  <si>
    <t>賃金・共済費</t>
    <rPh sb="0" eb="2">
      <t>チンギン</t>
    </rPh>
    <rPh sb="3" eb="6">
      <t>キョウサイヒ</t>
    </rPh>
    <phoneticPr fontId="8"/>
  </si>
  <si>
    <t>旅費</t>
    <rPh sb="0" eb="2">
      <t>リョヒ</t>
    </rPh>
    <phoneticPr fontId="8"/>
  </si>
  <si>
    <t>報償費</t>
    <rPh sb="0" eb="3">
      <t>ホウショウヒ</t>
    </rPh>
    <phoneticPr fontId="8"/>
  </si>
  <si>
    <t>雑役務費</t>
    <rPh sb="0" eb="1">
      <t>ザツ</t>
    </rPh>
    <rPh sb="1" eb="4">
      <t>エキムヒ</t>
    </rPh>
    <phoneticPr fontId="8"/>
  </si>
  <si>
    <t>消耗品費</t>
    <rPh sb="0" eb="3">
      <t>ショウモウヒン</t>
    </rPh>
    <rPh sb="3" eb="4">
      <t>ヒ</t>
    </rPh>
    <phoneticPr fontId="8"/>
  </si>
  <si>
    <t>通信費</t>
    <rPh sb="0" eb="2">
      <t>ツウシン</t>
    </rPh>
    <phoneticPr fontId="8"/>
  </si>
  <si>
    <t>会議費</t>
    <rPh sb="0" eb="3">
      <t>カイギヒ</t>
    </rPh>
    <phoneticPr fontId="8"/>
  </si>
  <si>
    <t>委託費等</t>
    <rPh sb="3" eb="4">
      <t>トウ</t>
    </rPh>
    <phoneticPr fontId="8"/>
  </si>
  <si>
    <t>委託費等</t>
    <rPh sb="0" eb="3">
      <t>イタクヒ</t>
    </rPh>
    <rPh sb="3" eb="4">
      <t>トウ</t>
    </rPh>
    <phoneticPr fontId="8"/>
  </si>
  <si>
    <t>委託費等</t>
    <rPh sb="3" eb="4">
      <t>トウ</t>
    </rPh>
    <phoneticPr fontId="3"/>
  </si>
  <si>
    <t>補助対象外経費</t>
    <rPh sb="0" eb="2">
      <t>ホジョ</t>
    </rPh>
    <rPh sb="2" eb="4">
      <t>タイショウ</t>
    </rPh>
    <rPh sb="4" eb="5">
      <t>ガイ</t>
    </rPh>
    <rPh sb="5" eb="7">
      <t>ケイヒ</t>
    </rPh>
    <phoneticPr fontId="3"/>
  </si>
  <si>
    <t>地域ゆかりの文化資産を活用した展覧会支援事業</t>
    <phoneticPr fontId="3"/>
  </si>
  <si>
    <t>主催者支出算出シート（地域ゆかりの文化資産を活用した展覧会支援事業）</t>
    <rPh sb="0" eb="3">
      <t>シュサイシャ</t>
    </rPh>
    <rPh sb="3" eb="5">
      <t>シシュツ</t>
    </rPh>
    <rPh sb="5" eb="7">
      <t>サンシュツ</t>
    </rPh>
    <rPh sb="11" eb="13">
      <t>チイキ</t>
    </rPh>
    <rPh sb="17" eb="19">
      <t>ブンカ</t>
    </rPh>
    <rPh sb="19" eb="21">
      <t>シサン</t>
    </rPh>
    <rPh sb="22" eb="24">
      <t>カツヨウ</t>
    </rPh>
    <rPh sb="26" eb="29">
      <t>テンランカイ</t>
    </rPh>
    <rPh sb="29" eb="31">
      <t>シエン</t>
    </rPh>
    <rPh sb="31" eb="33">
      <t>ジギョウ</t>
    </rPh>
    <phoneticPr fontId="3"/>
  </si>
  <si>
    <t>支出の部</t>
    <rPh sb="0" eb="2">
      <t>シシュツ</t>
    </rPh>
    <rPh sb="3" eb="4">
      <t>ブ</t>
    </rPh>
    <phoneticPr fontId="3"/>
  </si>
  <si>
    <t>主たる経費</t>
    <rPh sb="0" eb="1">
      <t>シュ</t>
    </rPh>
    <rPh sb="3" eb="5">
      <t>ケイヒ</t>
    </rPh>
    <phoneticPr fontId="7"/>
  </si>
  <si>
    <t>請負費</t>
  </si>
  <si>
    <t>委託費</t>
  </si>
  <si>
    <t>需用費</t>
  </si>
  <si>
    <t>備品購入費</t>
  </si>
  <si>
    <t>報償費</t>
  </si>
  <si>
    <t>旅費</t>
  </si>
  <si>
    <t>役務費</t>
  </si>
  <si>
    <t>使用料及び賃料</t>
  </si>
  <si>
    <t>コーディネーター料</t>
  </si>
  <si>
    <t>共済費</t>
  </si>
  <si>
    <t>再委託費内訳</t>
    <rPh sb="0" eb="1">
      <t>フタタ</t>
    </rPh>
    <phoneticPr fontId="6"/>
  </si>
  <si>
    <t>主催・共催型</t>
    <rPh sb="0" eb="2">
      <t>シュサイ</t>
    </rPh>
    <rPh sb="3" eb="5">
      <t>キョウサイ</t>
    </rPh>
    <rPh sb="5" eb="6">
      <t>ガタ</t>
    </rPh>
    <phoneticPr fontId="6"/>
  </si>
  <si>
    <t>イノベーション型</t>
    <phoneticPr fontId="6"/>
  </si>
  <si>
    <t>文化資源活用推進事業</t>
    <rPh sb="0" eb="2">
      <t>ブンカ</t>
    </rPh>
    <rPh sb="2" eb="4">
      <t>シゲン</t>
    </rPh>
    <rPh sb="4" eb="6">
      <t>カツヨウ</t>
    </rPh>
    <rPh sb="6" eb="8">
      <t>スイシン</t>
    </rPh>
    <rPh sb="8" eb="10">
      <t>ジギョウ</t>
    </rPh>
    <phoneticPr fontId="6"/>
  </si>
  <si>
    <t>国際的文化フェスティバル展開推進事業</t>
    <rPh sb="0" eb="3">
      <t>コクサイテキ</t>
    </rPh>
    <rPh sb="3" eb="5">
      <t>ブンカ</t>
    </rPh>
    <rPh sb="12" eb="14">
      <t>テンカイ</t>
    </rPh>
    <rPh sb="14" eb="16">
      <t>スイシン</t>
    </rPh>
    <rPh sb="16" eb="18">
      <t>ジギョウ</t>
    </rPh>
    <phoneticPr fontId="6"/>
  </si>
  <si>
    <t>再々委託費</t>
    <rPh sb="0" eb="2">
      <t>サイサイ</t>
    </rPh>
    <rPh sb="2" eb="5">
      <t>イタクヒ</t>
    </rPh>
    <phoneticPr fontId="3"/>
  </si>
  <si>
    <t>補助対象経費</t>
    <rPh sb="0" eb="2">
      <t>ホジョ</t>
    </rPh>
    <rPh sb="2" eb="6">
      <t>タイショウケイヒ</t>
    </rPh>
    <phoneticPr fontId="6"/>
  </si>
  <si>
    <t>委託費内訳</t>
    <phoneticPr fontId="3"/>
  </si>
  <si>
    <t>補助対象外経費</t>
    <rPh sb="0" eb="2">
      <t>ホジョ</t>
    </rPh>
    <rPh sb="2" eb="5">
      <t>タイショウガイ</t>
    </rPh>
    <rPh sb="5" eb="7">
      <t>ケイヒ</t>
    </rPh>
    <phoneticPr fontId="6"/>
  </si>
  <si>
    <t>補助金内訳</t>
    <rPh sb="0" eb="3">
      <t>ホジョキン</t>
    </rPh>
    <rPh sb="3" eb="5">
      <t>ウチワケ</t>
    </rPh>
    <phoneticPr fontId="6"/>
  </si>
  <si>
    <t>補助対象外経費</t>
    <rPh sb="0" eb="2">
      <t>ホジョ</t>
    </rPh>
    <rPh sb="2" eb="4">
      <t>タイショウ</t>
    </rPh>
    <rPh sb="4" eb="5">
      <t>ガイ</t>
    </rPh>
    <rPh sb="5" eb="7">
      <t>ケイヒ</t>
    </rPh>
    <phoneticPr fontId="6"/>
  </si>
  <si>
    <t>補助対外経費</t>
    <rPh sb="0" eb="2">
      <t>ホジョ</t>
    </rPh>
    <rPh sb="2" eb="4">
      <t>タイガイ</t>
    </rPh>
    <rPh sb="4" eb="6">
      <t>ケイヒ</t>
    </rPh>
    <phoneticPr fontId="6"/>
  </si>
  <si>
    <t>主たる経費</t>
    <rPh sb="0" eb="1">
      <t>シュ</t>
    </rPh>
    <rPh sb="3" eb="5">
      <t>ケイヒ</t>
    </rPh>
    <phoneticPr fontId="3"/>
  </si>
  <si>
    <t>消費税相当額</t>
    <rPh sb="0" eb="3">
      <t>ショウヒゼ</t>
    </rPh>
    <rPh sb="3" eb="6">
      <t>ソウトウガク</t>
    </rPh>
    <phoneticPr fontId="3"/>
  </si>
  <si>
    <t>賃金</t>
    <rPh sb="0" eb="2">
      <t>チンギン</t>
    </rPh>
    <phoneticPr fontId="5"/>
  </si>
  <si>
    <t>再々委託費</t>
  </si>
  <si>
    <t>※再委託費は内訳の費目に分配</t>
    <rPh sb="1" eb="2">
      <t>フタタ</t>
    </rPh>
    <rPh sb="6" eb="8">
      <t>ウチワケ</t>
    </rPh>
    <rPh sb="9" eb="11">
      <t>ヒモク</t>
    </rPh>
    <rPh sb="12" eb="14">
      <t>ブンパイ</t>
    </rPh>
    <phoneticPr fontId="6"/>
  </si>
  <si>
    <t>→→→→→→</t>
    <phoneticPr fontId="6"/>
  </si>
  <si>
    <t>※消費税相当額・再々委託費は補助対象経費（除く賃金・一般管理費）の比率に従って配賦</t>
    <rPh sb="1" eb="7">
      <t>ショウヒゼイソウトウガク</t>
    </rPh>
    <rPh sb="8" eb="10">
      <t>サイサイ</t>
    </rPh>
    <rPh sb="10" eb="13">
      <t>イタクヒ</t>
    </rPh>
    <rPh sb="14" eb="16">
      <t>ホジョ</t>
    </rPh>
    <rPh sb="16" eb="18">
      <t>タイショウ</t>
    </rPh>
    <rPh sb="18" eb="20">
      <t>ケイヒ</t>
    </rPh>
    <rPh sb="23" eb="25">
      <t>チンギン</t>
    </rPh>
    <rPh sb="26" eb="31">
      <t>イッパンカンリヒ</t>
    </rPh>
    <rPh sb="33" eb="35">
      <t>ヒリツ</t>
    </rPh>
    <rPh sb="36" eb="37">
      <t>シタガ</t>
    </rPh>
    <rPh sb="39" eb="41">
      <t>ハイフ</t>
    </rPh>
    <phoneticPr fontId="6"/>
  </si>
  <si>
    <t>…………………</t>
    <phoneticPr fontId="6"/>
  </si>
  <si>
    <t>雇用者所得</t>
    <rPh sb="0" eb="2">
      <t>コヨウ</t>
    </rPh>
    <rPh sb="2" eb="3">
      <t>シャ</t>
    </rPh>
    <rPh sb="3" eb="5">
      <t>ショトク</t>
    </rPh>
    <phoneticPr fontId="5"/>
  </si>
  <si>
    <t>雇用者所得</t>
    <rPh sb="0" eb="2">
      <t>コヨウ</t>
    </rPh>
    <rPh sb="2" eb="3">
      <t>シャ</t>
    </rPh>
    <rPh sb="3" eb="5">
      <t>ショトク</t>
    </rPh>
    <phoneticPr fontId="6"/>
  </si>
  <si>
    <t>対事業所サービス</t>
    <rPh sb="0" eb="1">
      <t>タイ</t>
    </rPh>
    <rPh sb="1" eb="4">
      <t>ジギョウショ</t>
    </rPh>
    <phoneticPr fontId="5"/>
  </si>
  <si>
    <t>対事業所サービス</t>
    <rPh sb="0" eb="1">
      <t>タイ</t>
    </rPh>
    <rPh sb="1" eb="4">
      <t>ジギョウショ</t>
    </rPh>
    <phoneticPr fontId="6"/>
  </si>
  <si>
    <t>運輸・郵便</t>
    <rPh sb="0" eb="2">
      <t>ウンユ</t>
    </rPh>
    <rPh sb="3" eb="5">
      <t>ユウビン</t>
    </rPh>
    <phoneticPr fontId="5"/>
  </si>
  <si>
    <t>運輸・郵便</t>
    <rPh sb="0" eb="2">
      <t>ウンユ</t>
    </rPh>
    <rPh sb="3" eb="5">
      <t>ユウビン</t>
    </rPh>
    <phoneticPr fontId="6"/>
  </si>
  <si>
    <t>商業</t>
    <rPh sb="0" eb="2">
      <t>ショウギョウ</t>
    </rPh>
    <phoneticPr fontId="5"/>
  </si>
  <si>
    <t>商業</t>
    <rPh sb="0" eb="2">
      <t>ショウギョウ</t>
    </rPh>
    <phoneticPr fontId="6"/>
  </si>
  <si>
    <t>情報通信</t>
  </si>
  <si>
    <t>金融・保険</t>
    <rPh sb="0" eb="2">
      <t>キンユウ</t>
    </rPh>
    <rPh sb="3" eb="5">
      <t>ホケン</t>
    </rPh>
    <phoneticPr fontId="5"/>
  </si>
  <si>
    <t>金融・保険</t>
    <rPh sb="0" eb="2">
      <t>キンユウ</t>
    </rPh>
    <rPh sb="3" eb="5">
      <t>ホケン</t>
    </rPh>
    <phoneticPr fontId="6"/>
  </si>
  <si>
    <t>金融・保険</t>
  </si>
  <si>
    <t>運輸・郵便</t>
  </si>
  <si>
    <t>対事業所サービス</t>
  </si>
  <si>
    <t>対個人サービス</t>
  </si>
  <si>
    <t>分類不明</t>
  </si>
  <si>
    <t>※委託費・補助金は内訳の費目に分配</t>
    <rPh sb="9" eb="11">
      <t>ウチワケ</t>
    </rPh>
    <rPh sb="12" eb="14">
      <t>ヒモク</t>
    </rPh>
    <rPh sb="15" eb="17">
      <t>ブンパイ</t>
    </rPh>
    <phoneticPr fontId="5"/>
  </si>
  <si>
    <t>賃金・コーディネーター料</t>
  </si>
  <si>
    <t>共済費・保険料</t>
  </si>
  <si>
    <t>使用料及び借料</t>
  </si>
  <si>
    <t>補助金</t>
  </si>
  <si>
    <t>→→→→→→</t>
  </si>
  <si>
    <t>…………………</t>
  </si>
  <si>
    <t>商業</t>
  </si>
  <si>
    <t>※委託費・補助金は各経費の比率に従って配賦</t>
  </si>
  <si>
    <t>その他</t>
    <rPh sb="2" eb="3">
      <t>タ</t>
    </rPh>
    <phoneticPr fontId="5"/>
  </si>
  <si>
    <t>その他</t>
    <rPh sb="2" eb="3">
      <t>タ</t>
    </rPh>
    <phoneticPr fontId="20"/>
  </si>
  <si>
    <t>委託費等</t>
    <rPh sb="0" eb="3">
      <t>イタクヒ</t>
    </rPh>
    <rPh sb="3" eb="4">
      <t>トウ</t>
    </rPh>
    <phoneticPr fontId="9"/>
  </si>
  <si>
    <t>合計額</t>
    <rPh sb="0" eb="3">
      <t>ゴウケイガク</t>
    </rPh>
    <phoneticPr fontId="3"/>
  </si>
  <si>
    <t>一般管理費</t>
    <rPh sb="0" eb="5">
      <t>イッパン</t>
    </rPh>
    <phoneticPr fontId="6"/>
  </si>
  <si>
    <t>※委託費・補助金・補助対象外経費は補助対象経費（除く賃金・コーディネーター料・一般管理費）の比率に従って配賦</t>
    <rPh sb="1" eb="4">
      <t>イタクヒ</t>
    </rPh>
    <rPh sb="5" eb="8">
      <t>ホジョキン</t>
    </rPh>
    <rPh sb="17" eb="21">
      <t>ホジョタイショウ</t>
    </rPh>
    <rPh sb="21" eb="23">
      <t>ケイヒ</t>
    </rPh>
    <rPh sb="24" eb="25">
      <t>ノゾ</t>
    </rPh>
    <rPh sb="26" eb="28">
      <t>チンギン</t>
    </rPh>
    <rPh sb="37" eb="38">
      <t>リョウ</t>
    </rPh>
    <rPh sb="39" eb="44">
      <t>イッパンカンリヒ</t>
    </rPh>
    <phoneticPr fontId="10"/>
  </si>
  <si>
    <t>※委託費は各経費（除く賃金）の比率に従って配賦</t>
    <rPh sb="9" eb="10">
      <t>ノゾ</t>
    </rPh>
    <rPh sb="11" eb="13">
      <t>チンギン</t>
    </rPh>
    <phoneticPr fontId="6"/>
  </si>
  <si>
    <t>コーディネーター料</t>
    <phoneticPr fontId="6"/>
  </si>
  <si>
    <t>備品購入費</t>
    <phoneticPr fontId="6"/>
  </si>
  <si>
    <t>01</t>
  </si>
  <si>
    <t>農林漁業</t>
  </si>
  <si>
    <t>06</t>
  </si>
  <si>
    <t>鉱業</t>
  </si>
  <si>
    <t>11</t>
  </si>
  <si>
    <t>飲食料品</t>
  </si>
  <si>
    <t>15</t>
  </si>
  <si>
    <t>繊維製品</t>
  </si>
  <si>
    <t>16</t>
  </si>
  <si>
    <t>パルプ・紙・木製品</t>
  </si>
  <si>
    <t>20</t>
  </si>
  <si>
    <t>化学製品</t>
  </si>
  <si>
    <t>21</t>
  </si>
  <si>
    <t>石油・石炭製品</t>
  </si>
  <si>
    <t>22</t>
  </si>
  <si>
    <t>プラスチック・ゴム製品</t>
  </si>
  <si>
    <t>25</t>
  </si>
  <si>
    <t>窯業・土石製品</t>
  </si>
  <si>
    <t>26</t>
  </si>
  <si>
    <t>鉄鋼</t>
  </si>
  <si>
    <t>27</t>
  </si>
  <si>
    <t>非鉄金属</t>
  </si>
  <si>
    <t>28</t>
  </si>
  <si>
    <t>金属製品</t>
  </si>
  <si>
    <t>29</t>
  </si>
  <si>
    <t>はん用機械</t>
  </si>
  <si>
    <t>30</t>
  </si>
  <si>
    <t>生産用機械</t>
  </si>
  <si>
    <t>31</t>
  </si>
  <si>
    <t>業務用機械</t>
  </si>
  <si>
    <t>32</t>
  </si>
  <si>
    <t>電子部品</t>
  </si>
  <si>
    <t>33</t>
  </si>
  <si>
    <t>電気機械</t>
  </si>
  <si>
    <t>34</t>
  </si>
  <si>
    <t>情報通信機器</t>
  </si>
  <si>
    <t>35</t>
  </si>
  <si>
    <t>輸送機械</t>
  </si>
  <si>
    <t>39</t>
  </si>
  <si>
    <t>その他の製造工業製品</t>
  </si>
  <si>
    <t>41</t>
  </si>
  <si>
    <t>建設</t>
  </si>
  <si>
    <t>46</t>
  </si>
  <si>
    <t>電力・ガス・熱供給</t>
  </si>
  <si>
    <t>47</t>
  </si>
  <si>
    <t>水道</t>
  </si>
  <si>
    <t>48</t>
  </si>
  <si>
    <t>廃棄物処理</t>
  </si>
  <si>
    <t>51</t>
  </si>
  <si>
    <t>53</t>
  </si>
  <si>
    <t>55</t>
  </si>
  <si>
    <t>不動産</t>
  </si>
  <si>
    <t>57</t>
  </si>
  <si>
    <t>59</t>
  </si>
  <si>
    <t>61</t>
  </si>
  <si>
    <t>公務</t>
  </si>
  <si>
    <t>63</t>
  </si>
  <si>
    <t>教育・研究</t>
  </si>
  <si>
    <t>64</t>
  </si>
  <si>
    <t>医療・福祉</t>
  </si>
  <si>
    <t>65</t>
  </si>
  <si>
    <t>他に分類されない会員制団体</t>
  </si>
  <si>
    <t>66</t>
  </si>
  <si>
    <t>67</t>
  </si>
  <si>
    <t>68</t>
  </si>
  <si>
    <t>事務用品</t>
  </si>
  <si>
    <t>69</t>
  </si>
  <si>
    <t>37分類</t>
    <phoneticPr fontId="6"/>
  </si>
  <si>
    <t>国内自給率</t>
    <rPh sb="0" eb="2">
      <t>コクナイ</t>
    </rPh>
    <rPh sb="2" eb="5">
      <t>ジキュウリツ</t>
    </rPh>
    <phoneticPr fontId="3"/>
  </si>
  <si>
    <t>雇用者所得投入係数</t>
    <rPh sb="0" eb="2">
      <t>コヨウ</t>
    </rPh>
    <rPh sb="2" eb="3">
      <t>シャ</t>
    </rPh>
    <rPh sb="3" eb="5">
      <t>ショトク</t>
    </rPh>
    <rPh sb="5" eb="7">
      <t>トウニュウ</t>
    </rPh>
    <rPh sb="7" eb="9">
      <t>ケイスウ</t>
    </rPh>
    <phoneticPr fontId="6"/>
  </si>
  <si>
    <t>主催者支出</t>
    <rPh sb="0" eb="3">
      <t>シュサイシャ</t>
    </rPh>
    <rPh sb="3" eb="5">
      <t>シシュツ</t>
    </rPh>
    <phoneticPr fontId="6"/>
  </si>
  <si>
    <t>来場者消費</t>
    <rPh sb="0" eb="3">
      <t>ライジョウシャ</t>
    </rPh>
    <rPh sb="3" eb="5">
      <t>ショウヒ</t>
    </rPh>
    <phoneticPr fontId="6"/>
  </si>
  <si>
    <t>合計</t>
    <rPh sb="0" eb="2">
      <t>ゴウケイ</t>
    </rPh>
    <phoneticPr fontId="6"/>
  </si>
  <si>
    <t>-</t>
    <phoneticPr fontId="6"/>
  </si>
  <si>
    <t>雇用者所得＋雇用者所得誘発額</t>
    <rPh sb="0" eb="2">
      <t>コヨウ</t>
    </rPh>
    <rPh sb="2" eb="3">
      <t>シャ</t>
    </rPh>
    <rPh sb="3" eb="5">
      <t>ショトク</t>
    </rPh>
    <rPh sb="6" eb="8">
      <t>コヨウ</t>
    </rPh>
    <rPh sb="8" eb="9">
      <t>シャ</t>
    </rPh>
    <rPh sb="9" eb="11">
      <t>ショトク</t>
    </rPh>
    <rPh sb="11" eb="13">
      <t>ユウハツ</t>
    </rPh>
    <rPh sb="13" eb="14">
      <t>ガク</t>
    </rPh>
    <phoneticPr fontId="5"/>
  </si>
  <si>
    <t>消費転換率※</t>
    <rPh sb="0" eb="2">
      <t>ショウヒ</t>
    </rPh>
    <rPh sb="2" eb="5">
      <t>テンカンリツ</t>
    </rPh>
    <phoneticPr fontId="5"/>
  </si>
  <si>
    <t>消費転換額</t>
    <rPh sb="0" eb="2">
      <t>ショウヒ</t>
    </rPh>
    <rPh sb="2" eb="4">
      <t>テンカン</t>
    </rPh>
    <rPh sb="4" eb="5">
      <t>ガク</t>
    </rPh>
    <phoneticPr fontId="5"/>
  </si>
  <si>
    <t>※2020年家計調査（世帯主の年齢階級別家計収支（二人以上の世帯のうち勤労者世帯））の平均消費性向を適用</t>
    <rPh sb="5" eb="6">
      <t>ネン</t>
    </rPh>
    <rPh sb="6" eb="10">
      <t>カケイチョウサ</t>
    </rPh>
    <rPh sb="43" eb="45">
      <t>ヘイキン</t>
    </rPh>
    <rPh sb="45" eb="49">
      <t>ショウヒセイコウ</t>
    </rPh>
    <rPh sb="50" eb="52">
      <t>テキヨウ</t>
    </rPh>
    <phoneticPr fontId="5"/>
  </si>
  <si>
    <t>新規需要増加額（千円）</t>
    <rPh sb="0" eb="2">
      <t>シンキ</t>
    </rPh>
    <rPh sb="2" eb="4">
      <t>ジュヨウ</t>
    </rPh>
    <rPh sb="4" eb="6">
      <t>ゾウカ</t>
    </rPh>
    <rPh sb="6" eb="7">
      <t>ガク</t>
    </rPh>
    <rPh sb="8" eb="9">
      <t>セン</t>
    </rPh>
    <rPh sb="9" eb="10">
      <t>エン</t>
    </rPh>
    <phoneticPr fontId="3"/>
  </si>
  <si>
    <t>飲食料品</t>
    <phoneticPr fontId="3"/>
  </si>
  <si>
    <t>→→→→→→→→</t>
    <phoneticPr fontId="3"/>
  </si>
  <si>
    <t>他の費目を基に按分</t>
    <rPh sb="0" eb="1">
      <t>タ</t>
    </rPh>
    <rPh sb="2" eb="4">
      <t>ヒモク</t>
    </rPh>
    <rPh sb="5" eb="6">
      <t>モト</t>
    </rPh>
    <rPh sb="7" eb="9">
      <t>アンブン</t>
    </rPh>
    <phoneticPr fontId="3"/>
  </si>
  <si>
    <t>その他の製造工業製品</t>
    <phoneticPr fontId="3"/>
  </si>
  <si>
    <t>集計（千円）</t>
    <rPh sb="0" eb="2">
      <t>シュウケイ</t>
    </rPh>
    <rPh sb="3" eb="4">
      <t>セン</t>
    </rPh>
    <rPh sb="4" eb="5">
      <t>エン</t>
    </rPh>
    <phoneticPr fontId="3"/>
  </si>
  <si>
    <t>マージン率</t>
    <rPh sb="4" eb="5">
      <t>リツ</t>
    </rPh>
    <phoneticPr fontId="3"/>
  </si>
  <si>
    <t>商業</t>
    <rPh sb="0" eb="2">
      <t>ショウギョウ</t>
    </rPh>
    <phoneticPr fontId="3"/>
  </si>
  <si>
    <t>運輸</t>
    <rPh sb="0" eb="2">
      <t>ウンユ</t>
    </rPh>
    <phoneticPr fontId="3"/>
  </si>
  <si>
    <t>マージン額</t>
    <rPh sb="4" eb="5">
      <t>ガク</t>
    </rPh>
    <phoneticPr fontId="3"/>
  </si>
  <si>
    <r>
      <t>平成27年(2015年)産業連関表 逆行列係数表[ I - ( I - M^ )A ]</t>
    </r>
    <r>
      <rPr>
        <vertAlign val="superscript"/>
        <sz val="9"/>
        <color theme="1"/>
        <rFont val="Meiryo UI"/>
        <family val="3"/>
        <charset val="128"/>
      </rPr>
      <t>-1</t>
    </r>
    <r>
      <rPr>
        <sz val="9"/>
        <color theme="1"/>
        <rFont val="Meiryo UI"/>
        <family val="3"/>
        <charset val="128"/>
      </rPr>
      <t>　(統合大分類)</t>
    </r>
    <phoneticPr fontId="21"/>
  </si>
  <si>
    <t>行和</t>
  </si>
  <si>
    <t>感応度係数</t>
  </si>
  <si>
    <t>列和</t>
  </si>
  <si>
    <t>影響力係数</t>
  </si>
  <si>
    <t>平成27年(2015年)産業連関表 取引基本表(生産者価格評価)(統合大分類)</t>
    <phoneticPr fontId="21"/>
  </si>
  <si>
    <t>(単位 : 100万円)</t>
  </si>
  <si>
    <t>70</t>
  </si>
  <si>
    <t>71</t>
  </si>
  <si>
    <t>72</t>
  </si>
  <si>
    <t>73</t>
  </si>
  <si>
    <t>74</t>
  </si>
  <si>
    <t>75</t>
  </si>
  <si>
    <t>76</t>
  </si>
  <si>
    <t>78</t>
  </si>
  <si>
    <t>79</t>
  </si>
  <si>
    <t>80</t>
  </si>
  <si>
    <t>81</t>
  </si>
  <si>
    <t>82</t>
  </si>
  <si>
    <t>83</t>
  </si>
  <si>
    <t>84</t>
  </si>
  <si>
    <t>85</t>
  </si>
  <si>
    <t>86</t>
  </si>
  <si>
    <t>87</t>
  </si>
  <si>
    <t>88</t>
  </si>
  <si>
    <t>97</t>
  </si>
  <si>
    <t>内生部門計</t>
  </si>
  <si>
    <t>家計外消費支出（列）</t>
  </si>
  <si>
    <t>民間消費支出</t>
  </si>
  <si>
    <t>一般政府消費支出</t>
  </si>
  <si>
    <t>国内総固定資本形成（公的）</t>
  </si>
  <si>
    <t>国内総固定資本形成（民間）</t>
  </si>
  <si>
    <t>在庫純増</t>
  </si>
  <si>
    <t>国内最終需要計</t>
  </si>
  <si>
    <t>国内需要合計</t>
  </si>
  <si>
    <t>輸出</t>
  </si>
  <si>
    <t>輸出計</t>
  </si>
  <si>
    <t>最終需要計</t>
  </si>
  <si>
    <t>需要合計</t>
  </si>
  <si>
    <t>（控除）輸入</t>
  </si>
  <si>
    <t>（控除）関税</t>
  </si>
  <si>
    <t>（控除）輸入品商品税</t>
  </si>
  <si>
    <t>（控除）輸入計</t>
  </si>
  <si>
    <t>最終需要部門計</t>
  </si>
  <si>
    <t>国内生産額</t>
  </si>
  <si>
    <t>家計外消費支出（行）</t>
  </si>
  <si>
    <t>91</t>
  </si>
  <si>
    <t>雇用者所得</t>
  </si>
  <si>
    <t>92</t>
  </si>
  <si>
    <t>営業余剰</t>
  </si>
  <si>
    <t>93</t>
  </si>
  <si>
    <t>資本減耗引当</t>
  </si>
  <si>
    <t>94</t>
  </si>
  <si>
    <t>間接税（関税・輸入品商品税を除く。）</t>
  </si>
  <si>
    <t>95</t>
  </si>
  <si>
    <t>（控除）経常補助金</t>
  </si>
  <si>
    <t>96</t>
  </si>
  <si>
    <t>粗付加価値部門計</t>
  </si>
  <si>
    <t>直接効果（千円）</t>
    <rPh sb="0" eb="2">
      <t>チョクセツ</t>
    </rPh>
    <rPh sb="2" eb="4">
      <t>コウカ</t>
    </rPh>
    <phoneticPr fontId="3"/>
  </si>
  <si>
    <t>生産誘発額（直接効果＋一次波及効果）（千円）</t>
    <rPh sb="0" eb="2">
      <t>セイサン</t>
    </rPh>
    <rPh sb="2" eb="5">
      <t>ユウハツガク</t>
    </rPh>
    <rPh sb="6" eb="8">
      <t>チョクセツ</t>
    </rPh>
    <rPh sb="8" eb="10">
      <t>コウカ</t>
    </rPh>
    <rPh sb="11" eb="17">
      <t>イチジ</t>
    </rPh>
    <phoneticPr fontId="3"/>
  </si>
  <si>
    <t>一次波及効果（千円）</t>
    <rPh sb="0" eb="2">
      <t>イチジ</t>
    </rPh>
    <rPh sb="2" eb="6">
      <t>ハキュウコウカ</t>
    </rPh>
    <phoneticPr fontId="6"/>
  </si>
  <si>
    <t>雇用者所得誘発額（千円）</t>
    <rPh sb="0" eb="2">
      <t>コヨウ</t>
    </rPh>
    <rPh sb="2" eb="3">
      <t>シャ</t>
    </rPh>
    <rPh sb="3" eb="5">
      <t>ショトク</t>
    </rPh>
    <rPh sb="5" eb="7">
      <t>ユウハツ</t>
    </rPh>
    <rPh sb="7" eb="8">
      <t>ガク</t>
    </rPh>
    <rPh sb="9" eb="11">
      <t>センエン</t>
    </rPh>
    <phoneticPr fontId="6"/>
  </si>
  <si>
    <t>民間消費支出増加額（千円）</t>
    <rPh sb="0" eb="2">
      <t>ミンカン</t>
    </rPh>
    <rPh sb="2" eb="4">
      <t>ショウヒ</t>
    </rPh>
    <rPh sb="4" eb="6">
      <t>シシュツ</t>
    </rPh>
    <rPh sb="6" eb="9">
      <t>ゾウカガク</t>
    </rPh>
    <rPh sb="10" eb="12">
      <t>センエン</t>
    </rPh>
    <phoneticPr fontId="6"/>
  </si>
  <si>
    <t>需要増加額（千円）</t>
    <rPh sb="0" eb="2">
      <t>ジュヨウ</t>
    </rPh>
    <rPh sb="2" eb="5">
      <t>ゾウカガク</t>
    </rPh>
    <rPh sb="6" eb="8">
      <t>センエン</t>
    </rPh>
    <phoneticPr fontId="6"/>
  </si>
  <si>
    <t>二次波及効果（生産誘発額）（千円）</t>
    <rPh sb="0" eb="6">
      <t>ニジハ</t>
    </rPh>
    <rPh sb="7" eb="12">
      <t>セイサンユウハツガク</t>
    </rPh>
    <rPh sb="14" eb="16">
      <t>センエン</t>
    </rPh>
    <phoneticPr fontId="6"/>
  </si>
  <si>
    <t>直接効果＋二次・二次波及効果合計（千円）</t>
    <rPh sb="0" eb="2">
      <t>チョクセツ</t>
    </rPh>
    <rPh sb="2" eb="4">
      <t>コウカ</t>
    </rPh>
    <rPh sb="5" eb="7">
      <t>ニジ</t>
    </rPh>
    <rPh sb="8" eb="10">
      <t>ニジ</t>
    </rPh>
    <rPh sb="10" eb="12">
      <t>ハキュウ</t>
    </rPh>
    <rPh sb="12" eb="14">
      <t>コウカ</t>
    </rPh>
    <rPh sb="14" eb="16">
      <t>ゴウケイ</t>
    </rPh>
    <rPh sb="17" eb="19">
      <t>センエン</t>
    </rPh>
    <phoneticPr fontId="6"/>
  </si>
  <si>
    <t>（単位：千円）</t>
    <rPh sb="1" eb="3">
      <t>タンイ</t>
    </rPh>
    <rPh sb="4" eb="5">
      <t>セン</t>
    </rPh>
    <rPh sb="5" eb="6">
      <t>エン</t>
    </rPh>
    <phoneticPr fontId="6"/>
  </si>
  <si>
    <t>A</t>
    <phoneticPr fontId="6"/>
  </si>
  <si>
    <t>E/C</t>
    <phoneticPr fontId="6"/>
  </si>
  <si>
    <t>M/C</t>
    <phoneticPr fontId="6"/>
  </si>
  <si>
    <t>（波及効果合計内訳）</t>
    <rPh sb="1" eb="5">
      <t>ハキュウコウカ</t>
    </rPh>
    <rPh sb="5" eb="7">
      <t>ゴウケイ</t>
    </rPh>
    <rPh sb="7" eb="9">
      <t>ウチワケ</t>
    </rPh>
    <phoneticPr fontId="3"/>
  </si>
  <si>
    <t>　↓</t>
    <phoneticPr fontId="3"/>
  </si>
  <si>
    <t>■「【様式B】精算報告書」の「①精算報告書」タブにおける次の費目の「小計」を記載してください。（単位：円）</t>
    <rPh sb="16" eb="18">
      <t>セイサン</t>
    </rPh>
    <rPh sb="18" eb="21">
      <t>ホウコクショ</t>
    </rPh>
    <rPh sb="28" eb="29">
      <t>ツギ</t>
    </rPh>
    <rPh sb="30" eb="32">
      <t>ヒモク</t>
    </rPh>
    <rPh sb="34" eb="36">
      <t>ショウケイ</t>
    </rPh>
    <rPh sb="38" eb="40">
      <t>キサイ</t>
    </rPh>
    <rPh sb="48" eb="50">
      <t>タンイ</t>
    </rPh>
    <rPh sb="51" eb="52">
      <t>エン</t>
    </rPh>
    <phoneticPr fontId="3"/>
  </si>
  <si>
    <t>■「【様式B】精算報告書」の「②再委託費内訳」タブにおける次の費目の「小計」を記載してください。（単位：円）</t>
    <rPh sb="16" eb="20">
      <t>サイイタクヒ</t>
    </rPh>
    <rPh sb="20" eb="22">
      <t>ウチ</t>
    </rPh>
    <rPh sb="29" eb="30">
      <t>ツギ</t>
    </rPh>
    <rPh sb="31" eb="33">
      <t>ヒモク</t>
    </rPh>
    <rPh sb="35" eb="37">
      <t>ショウケイ</t>
    </rPh>
    <rPh sb="39" eb="41">
      <t>キサイ</t>
    </rPh>
    <rPh sb="49" eb="51">
      <t>タンイ</t>
    </rPh>
    <rPh sb="52" eb="53">
      <t>エン</t>
    </rPh>
    <phoneticPr fontId="3"/>
  </si>
  <si>
    <t>■「様式F（収支決算書）」の「F-1収支決算書」タブにおける次の費目の「小計」の値を記載してください。（単位：円）</t>
    <rPh sb="30" eb="31">
      <t>ツギ</t>
    </rPh>
    <rPh sb="32" eb="34">
      <t>ヒモク</t>
    </rPh>
    <rPh sb="36" eb="38">
      <t>ショウケイ</t>
    </rPh>
    <rPh sb="40" eb="41">
      <t>アタイ</t>
    </rPh>
    <rPh sb="42" eb="44">
      <t>キサイ</t>
    </rPh>
    <rPh sb="52" eb="54">
      <t>タンイ</t>
    </rPh>
    <rPh sb="55" eb="56">
      <t>エン</t>
    </rPh>
    <phoneticPr fontId="3"/>
  </si>
  <si>
    <t>■「様式F（収支決算書）」の「F-5委託費内訳」タブにおける次の費目の「合計」の値を記載してください。（単位：円）</t>
    <rPh sb="30" eb="31">
      <t>ツギ</t>
    </rPh>
    <rPh sb="32" eb="34">
      <t>ヒモク</t>
    </rPh>
    <rPh sb="36" eb="38">
      <t>ゴウケイ</t>
    </rPh>
    <rPh sb="40" eb="41">
      <t>アタイ</t>
    </rPh>
    <rPh sb="42" eb="44">
      <t>キサイ</t>
    </rPh>
    <rPh sb="52" eb="54">
      <t>タンイ</t>
    </rPh>
    <rPh sb="55" eb="56">
      <t>エン</t>
    </rPh>
    <phoneticPr fontId="3"/>
  </si>
  <si>
    <t>■「収支決算書」における次の費目の「総事業費」の値を記載してください。（単位：円）</t>
    <rPh sb="12" eb="13">
      <t>ツギ</t>
    </rPh>
    <rPh sb="14" eb="16">
      <t>ヒモク</t>
    </rPh>
    <rPh sb="18" eb="22">
      <t>ソウジギョウヒ</t>
    </rPh>
    <rPh sb="24" eb="25">
      <t>アタイ</t>
    </rPh>
    <rPh sb="26" eb="28">
      <t>キサイ</t>
    </rPh>
    <rPh sb="36" eb="38">
      <t>タンイ</t>
    </rPh>
    <rPh sb="39" eb="40">
      <t>エン</t>
    </rPh>
    <phoneticPr fontId="3"/>
  </si>
  <si>
    <t>　「1_採択区分・推計パターン選択」で選択した日本博事業の種別に該当するタブを表示してください。</t>
    <rPh sb="19" eb="21">
      <t>センタク</t>
    </rPh>
    <rPh sb="32" eb="34">
      <t>ガイトウ</t>
    </rPh>
    <rPh sb="39" eb="41">
      <t>ヒョウジ</t>
    </rPh>
    <phoneticPr fontId="3"/>
  </si>
  <si>
    <t>　「1_採択区分・推計パターン選択」で選択した経済波及効果の推計のパターンに該当するタブを表示してください。</t>
    <rPh sb="19" eb="21">
      <t>センタク</t>
    </rPh>
    <rPh sb="38" eb="40">
      <t>ガイトウ</t>
    </rPh>
    <rPh sb="45" eb="47">
      <t>ヒョウジ</t>
    </rPh>
    <phoneticPr fontId="3"/>
  </si>
  <si>
    <t>●「1_採択区分・推計パターン選択」タブを表示してください。</t>
    <rPh sb="21" eb="23">
      <t>ヒョウジ</t>
    </rPh>
    <phoneticPr fontId="3"/>
  </si>
  <si>
    <t>●「採択区分」から、貴団体で実施されている日本博事業の種別を選択してください。</t>
    <rPh sb="10" eb="13">
      <t>キダンタイ</t>
    </rPh>
    <rPh sb="14" eb="16">
      <t>ジッシ</t>
    </rPh>
    <rPh sb="21" eb="24">
      <t>ニホンハク</t>
    </rPh>
    <rPh sb="24" eb="26">
      <t>ジギョウ</t>
    </rPh>
    <rPh sb="27" eb="29">
      <t>シュベツ</t>
    </rPh>
    <rPh sb="30" eb="32">
      <t>センタク</t>
    </rPh>
    <phoneticPr fontId="3"/>
  </si>
  <si>
    <t>●「2_主催・共催型」、「2_イノベーション型」、「2_文化資源」、「2_国際フェスティバル」、「2_地域ゆかり」のタブのうち、</t>
    <phoneticPr fontId="3"/>
  </si>
  <si>
    <t>●黄色に色付けされた部分に、事業実施における支出額を記入してください。</t>
    <rPh sb="1" eb="3">
      <t>キイロ</t>
    </rPh>
    <rPh sb="4" eb="6">
      <t>イロヅ</t>
    </rPh>
    <rPh sb="10" eb="12">
      <t>ブブン</t>
    </rPh>
    <rPh sb="14" eb="18">
      <t>ジギョウジッシ</t>
    </rPh>
    <rPh sb="22" eb="25">
      <t>シシュツガク</t>
    </rPh>
    <rPh sb="26" eb="28">
      <t>キニュウ</t>
    </rPh>
    <phoneticPr fontId="3"/>
  </si>
  <si>
    <t>●「3_パターン①」、「3_パターン②」、「3_パターン③」のタブのうち、</t>
    <phoneticPr fontId="3"/>
  </si>
  <si>
    <t>　支出額の記入においては、各タブでの記載内容に従い、事業報告時に提出されている各種書類の記載内容を転載してください。</t>
    <rPh sb="1" eb="4">
      <t>シシュツガク</t>
    </rPh>
    <rPh sb="5" eb="7">
      <t>キニュウ</t>
    </rPh>
    <rPh sb="26" eb="30">
      <t>ジギョウホウコク</t>
    </rPh>
    <rPh sb="30" eb="31">
      <t>ジ</t>
    </rPh>
    <rPh sb="32" eb="34">
      <t>テイシュツ</t>
    </rPh>
    <rPh sb="39" eb="41">
      <t>カクシュ</t>
    </rPh>
    <rPh sb="41" eb="43">
      <t>ショルイ</t>
    </rPh>
    <rPh sb="44" eb="48">
      <t>キサイナイヨウ</t>
    </rPh>
    <rPh sb="49" eb="51">
      <t>テンサイ</t>
    </rPh>
    <phoneticPr fontId="3"/>
  </si>
  <si>
    <t>●各タブでの記載内容に従い、黄色に色付けされた部分を記入してください。</t>
    <rPh sb="14" eb="16">
      <t>キイロ</t>
    </rPh>
    <rPh sb="17" eb="19">
      <t>イロヅ</t>
    </rPh>
    <rPh sb="23" eb="25">
      <t>ブブン</t>
    </rPh>
    <rPh sb="26" eb="28">
      <t>キニュウ</t>
    </rPh>
    <phoneticPr fontId="3"/>
  </si>
  <si>
    <t>●「来場者支出パターン」から、経済波及効果の推計のパターン（今年度はパターン②かパターン③のいずれか）を選択してください。</t>
    <rPh sb="15" eb="21">
      <t>ケイザイ</t>
    </rPh>
    <rPh sb="22" eb="24">
      <t>スイケイ</t>
    </rPh>
    <rPh sb="30" eb="33">
      <t>コンエンド</t>
    </rPh>
    <rPh sb="52" eb="54">
      <t>センタク</t>
    </rPh>
    <phoneticPr fontId="3"/>
  </si>
  <si>
    <t>●「4_推計結果」タブに経済波及効果の算出結果が表示されます。</t>
    <rPh sb="12" eb="18">
      <t>ケイザ</t>
    </rPh>
    <rPh sb="19" eb="21">
      <t>サンシュツ</t>
    </rPh>
    <rPh sb="21" eb="23">
      <t>ケッカ</t>
    </rPh>
    <rPh sb="24" eb="26">
      <t>ヒョウジ</t>
    </rPh>
    <phoneticPr fontId="3"/>
  </si>
  <si>
    <t>■留意点</t>
    <rPh sb="1" eb="4">
      <t>リュウイテン</t>
    </rPh>
    <phoneticPr fontId="3"/>
  </si>
  <si>
    <t>●各種入力の際には、金額・人数・割合等の単位にお気をつけください。</t>
    <rPh sb="1" eb="3">
      <t>カクシュ</t>
    </rPh>
    <rPh sb="3" eb="5">
      <t>ニュウリョク</t>
    </rPh>
    <rPh sb="6" eb="7">
      <t>サイ</t>
    </rPh>
    <rPh sb="10" eb="12">
      <t>キンガク</t>
    </rPh>
    <rPh sb="13" eb="15">
      <t>ニンズウ</t>
    </rPh>
    <rPh sb="16" eb="18">
      <t>ワリアイ</t>
    </rPh>
    <rPh sb="18" eb="19">
      <t>トウ</t>
    </rPh>
    <rPh sb="20" eb="22">
      <t>タンイ</t>
    </rPh>
    <rPh sb="24" eb="25">
      <t>キ</t>
    </rPh>
    <phoneticPr fontId="3"/>
  </si>
  <si>
    <t>●黄色に色付けされたセル以外は修正しないでください（関数などが入っている場合があり修正するとシートが正常に機能しない可能性があります）。</t>
    <rPh sb="1" eb="3">
      <t>キイロ</t>
    </rPh>
    <rPh sb="4" eb="6">
      <t>イロヅ</t>
    </rPh>
    <rPh sb="12" eb="14">
      <t>イガイ</t>
    </rPh>
    <rPh sb="15" eb="17">
      <t>シュウセイ</t>
    </rPh>
    <rPh sb="26" eb="28">
      <t>カンスウ</t>
    </rPh>
    <rPh sb="31" eb="32">
      <t>ハイ</t>
    </rPh>
    <rPh sb="36" eb="38">
      <t>バアイ</t>
    </rPh>
    <rPh sb="41" eb="43">
      <t>シュウセイ</t>
    </rPh>
    <rPh sb="50" eb="52">
      <t>セイジョウ</t>
    </rPh>
    <rPh sb="53" eb="55">
      <t>キノウ</t>
    </rPh>
    <rPh sb="58" eb="61">
      <t>カノウセイ</t>
    </rPh>
    <phoneticPr fontId="3"/>
  </si>
  <si>
    <t>■経済波及効果算出ツール活用の流れ</t>
    <rPh sb="1" eb="3">
      <t>ケイザイ</t>
    </rPh>
    <rPh sb="3" eb="5">
      <t>ハキュウ</t>
    </rPh>
    <rPh sb="5" eb="7">
      <t>コウカ</t>
    </rPh>
    <rPh sb="7" eb="9">
      <t>サンシュツ</t>
    </rPh>
    <rPh sb="12" eb="14">
      <t>カツヨウ</t>
    </rPh>
    <rPh sb="15" eb="16">
      <t>ナガ</t>
    </rPh>
    <phoneticPr fontId="3"/>
  </si>
  <si>
    <t>●本ツールで算出された経済波及効果の値などを各種報告・資料等で活用される場合には、「日本博経済波及効果算出ツールを基に算出」と表記してください。</t>
    <rPh sb="1" eb="2">
      <t>ホン</t>
    </rPh>
    <rPh sb="6" eb="8">
      <t>サンシュツ</t>
    </rPh>
    <rPh sb="11" eb="17">
      <t>ケイザイ</t>
    </rPh>
    <rPh sb="18" eb="19">
      <t>アタイ</t>
    </rPh>
    <rPh sb="22" eb="24">
      <t>カクシュ</t>
    </rPh>
    <rPh sb="24" eb="26">
      <t>ホウコク</t>
    </rPh>
    <rPh sb="27" eb="29">
      <t>シリョウ</t>
    </rPh>
    <rPh sb="29" eb="30">
      <t>トウ</t>
    </rPh>
    <rPh sb="31" eb="33">
      <t>カツヨウ</t>
    </rPh>
    <rPh sb="36" eb="38">
      <t>バアイ</t>
    </rPh>
    <rPh sb="42" eb="45">
      <t>ニホンハク</t>
    </rPh>
    <rPh sb="51" eb="53">
      <t>サンシュツ</t>
    </rPh>
    <rPh sb="57" eb="58">
      <t>モト</t>
    </rPh>
    <rPh sb="59" eb="61">
      <t>サンシュツ</t>
    </rPh>
    <rPh sb="63" eb="65">
      <t>ヒョウキ</t>
    </rPh>
    <phoneticPr fontId="3"/>
  </si>
  <si>
    <t>●本ツールで算出される経済波及効果は全国に対するものです（産業連関表は全国表のみを使用しています）。</t>
    <rPh sb="1" eb="2">
      <t>ホン</t>
    </rPh>
    <rPh sb="6" eb="8">
      <t>サンシュツ</t>
    </rPh>
    <rPh sb="11" eb="17">
      <t>ケイザ</t>
    </rPh>
    <rPh sb="18" eb="20">
      <t>ゼンコク</t>
    </rPh>
    <rPh sb="21" eb="22">
      <t>タイ</t>
    </rPh>
    <rPh sb="29" eb="34">
      <t>サンギョウレンカ</t>
    </rPh>
    <rPh sb="35" eb="37">
      <t>ゼンコク</t>
    </rPh>
    <rPh sb="37" eb="38">
      <t>ヒョウ</t>
    </rPh>
    <rPh sb="41" eb="43">
      <t>シヨウ</t>
    </rPh>
    <phoneticPr fontId="3"/>
  </si>
  <si>
    <t>●パターン①</t>
    <phoneticPr fontId="3"/>
  </si>
  <si>
    <t>●パターン②</t>
    <phoneticPr fontId="3"/>
  </si>
  <si>
    <t>■参考）来場者消費額の算出のロジック</t>
    <rPh sb="1" eb="3">
      <t>サンコウ</t>
    </rPh>
    <rPh sb="4" eb="7">
      <t>ライジョウシャ</t>
    </rPh>
    <rPh sb="7" eb="9">
      <t>ショウヒ</t>
    </rPh>
    <rPh sb="9" eb="10">
      <t>ガク</t>
    </rPh>
    <rPh sb="11" eb="13">
      <t>サンシュツ</t>
    </rPh>
    <phoneticPr fontId="3"/>
  </si>
  <si>
    <t>　　 2020年値がない場合は、2019年、2018年の値を採用。それもない場合は、隣接県のうち最も人口規模の大きな都市の値を採用。</t>
    <phoneticPr fontId="3"/>
  </si>
  <si>
    <t>・総来場者数に上記比率を乗じて、日本人の4区分の来場者数、外国人の来場者数を推計。</t>
    <rPh sb="1" eb="5">
      <t>ソウライジョウシャ</t>
    </rPh>
    <rPh sb="5" eb="6">
      <t>スウ</t>
    </rPh>
    <rPh sb="7" eb="9">
      <t>ジョウキ</t>
    </rPh>
    <rPh sb="9" eb="11">
      <t>ヒリツ</t>
    </rPh>
    <rPh sb="12" eb="13">
      <t>ジョウ</t>
    </rPh>
    <rPh sb="16" eb="19">
      <t>ニホンジン</t>
    </rPh>
    <rPh sb="21" eb="23">
      <t>クブン</t>
    </rPh>
    <rPh sb="24" eb="28">
      <t>ライジョウシャスウ</t>
    </rPh>
    <rPh sb="29" eb="33">
      <t>ガイコクジンオ</t>
    </rPh>
    <rPh sb="33" eb="37">
      <t>ライジョウシャスウ</t>
    </rPh>
    <rPh sb="38" eb="40">
      <t>スイケイ</t>
    </rPh>
    <phoneticPr fontId="3"/>
  </si>
  <si>
    <t>・外国人来場者数に上記比率を乗じて、宿泊・日帰りの外国人来場者数を推計。</t>
    <rPh sb="1" eb="4">
      <t>ガイコクジン</t>
    </rPh>
    <rPh sb="4" eb="8">
      <t>ライジョウシャスウ</t>
    </rPh>
    <rPh sb="9" eb="11">
      <t>ジョウキ</t>
    </rPh>
    <rPh sb="11" eb="13">
      <t>ヒリツ</t>
    </rPh>
    <rPh sb="14" eb="15">
      <t>ジョウ</t>
    </rPh>
    <rPh sb="18" eb="20">
      <t>シュクハク</t>
    </rPh>
    <rPh sb="21" eb="23">
      <t>ヒガエ</t>
    </rPh>
    <rPh sb="25" eb="28">
      <t>ガイコクジン</t>
    </rPh>
    <rPh sb="28" eb="32">
      <t>ライジョウシャスウ</t>
    </rPh>
    <rPh sb="33" eb="35">
      <t>スイケイ</t>
    </rPh>
    <phoneticPr fontId="3"/>
  </si>
  <si>
    <t>　※観光庁「共通基準による観光入込客統計」は、原則2020年の年間値を採用（27都道府県が集計済 ※大阪府は本統計に不参加）。</t>
    <phoneticPr fontId="3"/>
  </si>
  <si>
    <t>・観光庁「旅行・観光消費動向調査」（2020年）の、各都道府県の外国人観光客の「団体･パック参加費」、「宿泊費」、「飲食費」、「交通費」、「娯楽等サービス費」、「買物代」、「その他」の</t>
    <rPh sb="22" eb="23">
      <t>ネン</t>
    </rPh>
    <rPh sb="26" eb="31">
      <t>カクトドウフケン</t>
    </rPh>
    <rPh sb="35" eb="38">
      <t>カンコウキャク</t>
    </rPh>
    <phoneticPr fontId="3"/>
  </si>
  <si>
    <t>・「日本博標準来場者アンケート」の結果を基に日本人来場者と外国人来場者の比率を算出。</t>
    <rPh sb="2" eb="5">
      <t>ニホンハク</t>
    </rPh>
    <rPh sb="5" eb="7">
      <t>ヒョウジュン</t>
    </rPh>
    <rPh sb="17" eb="19">
      <t>ケッカ</t>
    </rPh>
    <rPh sb="20" eb="21">
      <t>モト</t>
    </rPh>
    <rPh sb="22" eb="25">
      <t>ニホンジン</t>
    </rPh>
    <rPh sb="25" eb="28">
      <t>ライジョ</t>
    </rPh>
    <rPh sb="29" eb="32">
      <t>ガイコクジン</t>
    </rPh>
    <rPh sb="32" eb="35">
      <t>ライジョウシャ</t>
    </rPh>
    <rPh sb="36" eb="38">
      <t>ヒリツ</t>
    </rPh>
    <rPh sb="39" eb="41">
      <t>サンシュツ</t>
    </rPh>
    <phoneticPr fontId="3"/>
  </si>
  <si>
    <t>　　 ただし、東京都の客数は令和2年東京都観光客数等実態調査を参照。</t>
    <rPh sb="7" eb="10">
      <t>トウキョウト</t>
    </rPh>
    <rPh sb="31" eb="33">
      <t>サンショウ</t>
    </rPh>
    <phoneticPr fontId="3"/>
  </si>
  <si>
    <t>　平均消費額を基にそれぞれの比率を算出。</t>
    <rPh sb="7" eb="8">
      <t>モト</t>
    </rPh>
    <rPh sb="14" eb="16">
      <t>ヒリツ</t>
    </rPh>
    <rPh sb="17" eb="19">
      <t>サンシュツ</t>
    </rPh>
    <phoneticPr fontId="3"/>
  </si>
  <si>
    <t>・観光庁「共通基準による観光入込客統計」の宿泊・日帰りの外国人の観光消費額単価に上記比率を乗じて、宿泊・日帰りの外国人の費目ごとの1人あたり消費額を推計。</t>
    <rPh sb="40" eb="42">
      <t>ジョウキ</t>
    </rPh>
    <rPh sb="42" eb="44">
      <t>ヒリツ</t>
    </rPh>
    <rPh sb="45" eb="46">
      <t>ジョウ</t>
    </rPh>
    <rPh sb="49" eb="51">
      <t>シュクハク</t>
    </rPh>
    <rPh sb="52" eb="54">
      <t>ヒガエ</t>
    </rPh>
    <rPh sb="56" eb="58">
      <t>ガイコク</t>
    </rPh>
    <rPh sb="58" eb="59">
      <t>ジン</t>
    </rPh>
    <rPh sb="60" eb="62">
      <t>ヒモク</t>
    </rPh>
    <rPh sb="65" eb="67">
      <t>ヒトリ</t>
    </rPh>
    <rPh sb="70" eb="72">
      <t>ショウヒ</t>
    </rPh>
    <rPh sb="72" eb="73">
      <t>ガク</t>
    </rPh>
    <rPh sb="74" eb="76">
      <t>スイケイ</t>
    </rPh>
    <phoneticPr fontId="3"/>
  </si>
  <si>
    <t>・宿泊・日帰りの外国人来場者数と宿泊・日帰りの外国人の費目ごとの1人あたり消費額を乗じて、費目ごとの外国人来場者の消費額を推計。</t>
    <rPh sb="41" eb="42">
      <t>ジョウ</t>
    </rPh>
    <rPh sb="50" eb="53">
      <t>ガイコクジン</t>
    </rPh>
    <phoneticPr fontId="3"/>
  </si>
  <si>
    <t>　※観光庁「共通基準による観光入込客統計」は、原則2020年の年間値を採用（27都道府県が集計済 ※大阪府は本統計に不参加）。</t>
    <rPh sb="2" eb="4">
      <t>カンコウ</t>
    </rPh>
    <phoneticPr fontId="3"/>
  </si>
  <si>
    <t>・観光庁「共通基準による観光入込客統計」の、各都道府県別の観光目的の外国人の宿泊・日帰りの観光入込客数を基にそれぞれの比率を算出。</t>
    <rPh sb="22" eb="23">
      <t>カク</t>
    </rPh>
    <rPh sb="29" eb="33">
      <t>カンコウモクテキ</t>
    </rPh>
    <rPh sb="34" eb="37">
      <t>ガイコクジン</t>
    </rPh>
    <rPh sb="38" eb="40">
      <t>シュクハク</t>
    </rPh>
    <rPh sb="41" eb="43">
      <t>ヒガエ</t>
    </rPh>
    <rPh sb="52" eb="53">
      <t>モト</t>
    </rPh>
    <rPh sb="59" eb="61">
      <t>ヒリツ</t>
    </rPh>
    <rPh sb="62" eb="64">
      <t>サンシュツ</t>
    </rPh>
    <phoneticPr fontId="3"/>
  </si>
  <si>
    <t>・観光庁「旅行・観光消費動向調査」（2020年）の、各都道府県の日本人観光客の「団体･パック参加費」、「宿泊費」、「飲食費」、「交通費」、「娯楽等サービス費」、「買物代」、「その他」の</t>
    <rPh sb="22" eb="23">
      <t>ネン</t>
    </rPh>
    <rPh sb="26" eb="31">
      <t>カクトドウフケン</t>
    </rPh>
    <rPh sb="32" eb="35">
      <t>ニホンジン</t>
    </rPh>
    <rPh sb="35" eb="38">
      <t>カンコウキャク</t>
    </rPh>
    <phoneticPr fontId="3"/>
  </si>
  <si>
    <t>　日本人観光客4区分ごとの費目ごとの1人あたり消費額を推計。</t>
    <rPh sb="1" eb="4">
      <t>ニホンジン</t>
    </rPh>
    <rPh sb="4" eb="7">
      <t>カンコウキャク</t>
    </rPh>
    <rPh sb="8" eb="10">
      <t>クブン</t>
    </rPh>
    <phoneticPr fontId="3"/>
  </si>
  <si>
    <t>●パターン③</t>
    <phoneticPr fontId="3"/>
  </si>
  <si>
    <t>・観光庁「共通基準による観光入込客統計」の、各都道府県別の観光目的の日本人（県内・県外×宿泊・日帰り）、外国人（宿泊・日帰り）の観光入込客数を基にそれぞれの比率を算出。</t>
    <rPh sb="22" eb="23">
      <t>カク</t>
    </rPh>
    <rPh sb="29" eb="33">
      <t>カンコウモクテキ</t>
    </rPh>
    <rPh sb="34" eb="37">
      <t>ニホンジン</t>
    </rPh>
    <rPh sb="52" eb="55">
      <t>ガイコクジン</t>
    </rPh>
    <rPh sb="56" eb="58">
      <t>シュクハク</t>
    </rPh>
    <rPh sb="59" eb="61">
      <t>ヒガエ</t>
    </rPh>
    <rPh sb="71" eb="72">
      <t>モト</t>
    </rPh>
    <rPh sb="78" eb="80">
      <t>ヒリツ</t>
    </rPh>
    <rPh sb="81" eb="83">
      <t>サンシュツ</t>
    </rPh>
    <phoneticPr fontId="3"/>
  </si>
  <si>
    <t>・総来場者数に上記比率を乗じて、日本人の4区分の来場者数、外国人の2区分の来場者数を推計。</t>
    <rPh sb="1" eb="5">
      <t>ソウライジョウシャ</t>
    </rPh>
    <rPh sb="5" eb="6">
      <t>スウ</t>
    </rPh>
    <rPh sb="7" eb="9">
      <t>ジョウキ</t>
    </rPh>
    <rPh sb="9" eb="11">
      <t>ヒリツ</t>
    </rPh>
    <rPh sb="12" eb="13">
      <t>ジョウ</t>
    </rPh>
    <rPh sb="16" eb="19">
      <t>ニホンジン</t>
    </rPh>
    <rPh sb="21" eb="23">
      <t>クブン</t>
    </rPh>
    <rPh sb="24" eb="28">
      <t>ライジョウシャスウ</t>
    </rPh>
    <rPh sb="29" eb="33">
      <t>ガイコクジンオ</t>
    </rPh>
    <rPh sb="34" eb="36">
      <t>クブン</t>
    </rPh>
    <rPh sb="37" eb="41">
      <t>ライジョウシャスウ</t>
    </rPh>
    <rPh sb="42" eb="44">
      <t>スイケイ</t>
    </rPh>
    <phoneticPr fontId="3"/>
  </si>
  <si>
    <t>・観光庁「旅行・観光消費動向調査」（2020年）の、各都道府県の日本人観光客と外国人観光客の「団体･パック参加費」、「宿泊費」、「飲食費」、「交通費」、「娯楽等サービス費」、「買物代」、「その他」の</t>
    <rPh sb="22" eb="23">
      <t>ネン</t>
    </rPh>
    <rPh sb="26" eb="31">
      <t>カクトドウフケン</t>
    </rPh>
    <rPh sb="32" eb="35">
      <t>ニホンジン</t>
    </rPh>
    <rPh sb="35" eb="38">
      <t>カンコウキャク</t>
    </rPh>
    <rPh sb="39" eb="42">
      <t>ガイコクジン</t>
    </rPh>
    <rPh sb="42" eb="45">
      <t>カンコウキャク</t>
    </rPh>
    <phoneticPr fontId="3"/>
  </si>
  <si>
    <t>・観光庁「共通基準による観光入込客統計」の、各都道府県別の観光目的の日本人の4区分（県内・県外×宿泊・日帰り）と外国人の2区分（宿泊・日帰り）ごとの観光消費額単価に上記比率を乗じて、</t>
    <rPh sb="22" eb="23">
      <t>カク</t>
    </rPh>
    <rPh sb="29" eb="33">
      <t>カンコウモクテキ</t>
    </rPh>
    <rPh sb="34" eb="37">
      <t>ニホンジン</t>
    </rPh>
    <rPh sb="39" eb="41">
      <t>クブン</t>
    </rPh>
    <rPh sb="56" eb="59">
      <t>ガイコクジン</t>
    </rPh>
    <rPh sb="61" eb="63">
      <t>クブン</t>
    </rPh>
    <rPh sb="64" eb="66">
      <t>シュクハク</t>
    </rPh>
    <rPh sb="67" eb="69">
      <t>ヒガエ</t>
    </rPh>
    <phoneticPr fontId="3"/>
  </si>
  <si>
    <t>　日本人観光客4区分と外国人観光客2区分ごとの費目ごとの1人あたり消費額を推計。</t>
    <rPh sb="1" eb="4">
      <t>ニホンジン</t>
    </rPh>
    <rPh sb="4" eb="7">
      <t>カンコウキャク</t>
    </rPh>
    <rPh sb="8" eb="10">
      <t>クブン</t>
    </rPh>
    <rPh sb="11" eb="14">
      <t>ガイコクジン</t>
    </rPh>
    <rPh sb="14" eb="17">
      <t>カンコウキャク</t>
    </rPh>
    <rPh sb="18" eb="20">
      <t>クブン</t>
    </rPh>
    <phoneticPr fontId="3"/>
  </si>
  <si>
    <t>・日本人の4区分と外国人2区分のの来場者数と費目ごとの1人あたり消費額を乗じて、費目ごとの来場者の消費額を推計。</t>
    <rPh sb="9" eb="12">
      <t>ガイコクジン</t>
    </rPh>
    <rPh sb="13" eb="15">
      <t>クブン</t>
    </rPh>
    <rPh sb="17" eb="21">
      <t>ライジョウシャスウ</t>
    </rPh>
    <rPh sb="22" eb="24">
      <t>ヒモク</t>
    </rPh>
    <rPh sb="36" eb="37">
      <t>ジョウ</t>
    </rPh>
    <rPh sb="40" eb="42">
      <t>ヒモク</t>
    </rPh>
    <rPh sb="45" eb="48">
      <t>ライジョウシャ</t>
    </rPh>
    <rPh sb="49" eb="52">
      <t>ショウヒガク</t>
    </rPh>
    <rPh sb="53" eb="55">
      <t>スイケイ</t>
    </rPh>
    <phoneticPr fontId="3"/>
  </si>
  <si>
    <t>・費目ごとの来場者の消費額を産業連関表の分類（37分類）と紐づけ。</t>
    <rPh sb="1" eb="3">
      <t>ヒモク</t>
    </rPh>
    <rPh sb="6" eb="9">
      <t>ライジョウシャ</t>
    </rPh>
    <rPh sb="14" eb="19">
      <t>サンギョウレ</t>
    </rPh>
    <rPh sb="20" eb="22">
      <t>ブンルイ</t>
    </rPh>
    <rPh sb="25" eb="27">
      <t>ブンルイ</t>
    </rPh>
    <rPh sb="29" eb="30">
      <t>ヒモ</t>
    </rPh>
    <phoneticPr fontId="3"/>
  </si>
  <si>
    <t>---------------------------------------------------------------------------------------------------------------------------------------------------------------------------------------</t>
    <phoneticPr fontId="3"/>
  </si>
  <si>
    <t>　日本人来場者については、さらに県内・県外×宿泊・日帰りの4区分の比率と4区分の費目（「団体･パック参加費」、「宿泊費」、「飲食費」、「交通費」、「娯楽等サービス費」、「買物代」、「その他」）</t>
    <rPh sb="4" eb="7">
      <t>ライジョウシャ</t>
    </rPh>
    <rPh sb="37" eb="39">
      <t>クブン</t>
    </rPh>
    <phoneticPr fontId="3"/>
  </si>
  <si>
    <t>　ごとの1人あたり消費額を算出。　</t>
    <phoneticPr fontId="3"/>
  </si>
  <si>
    <t>・観光庁「共通基準による観光入込客統計」の、各都道府県別の観光目的の宿泊・日帰りの外国人の観光入込客数を基にそれぞれの比率を算出。</t>
    <rPh sb="22" eb="23">
      <t>カク</t>
    </rPh>
    <rPh sb="29" eb="33">
      <t>カンコウモクテキ</t>
    </rPh>
    <rPh sb="41" eb="44">
      <t>ガイコクジン</t>
    </rPh>
    <rPh sb="52" eb="53">
      <t>モト</t>
    </rPh>
    <rPh sb="59" eb="61">
      <t>ヒリツ</t>
    </rPh>
    <rPh sb="62" eb="64">
      <t>サンシュツ</t>
    </rPh>
    <phoneticPr fontId="3"/>
  </si>
  <si>
    <t>・費目ごとの日本人来場者と外国人来場者の消費額を産業連関表の分類（37分類）と紐づけ。</t>
    <rPh sb="24" eb="29">
      <t>サンギョウレ</t>
    </rPh>
    <rPh sb="30" eb="32">
      <t>ブンルイ</t>
    </rPh>
    <rPh sb="35" eb="37">
      <t>ブンルイ</t>
    </rPh>
    <rPh sb="39" eb="40">
      <t>ヒモ</t>
    </rPh>
    <phoneticPr fontId="3"/>
  </si>
  <si>
    <t>　日本人来場者については、さらに県内・県外×宿泊・日帰りの4区分の比率を算出。　</t>
    <rPh sb="4" eb="7">
      <t>ライジョウシャ</t>
    </rPh>
    <phoneticPr fontId="3"/>
  </si>
  <si>
    <t>・総来場者数に上記比率を乗じて、日本人の4区分の来場者数と外国人の来場者数を推計。</t>
    <rPh sb="1" eb="5">
      <t>ソウライジョウシャ</t>
    </rPh>
    <rPh sb="5" eb="6">
      <t>スウ</t>
    </rPh>
    <rPh sb="7" eb="9">
      <t>ジョウキ</t>
    </rPh>
    <rPh sb="9" eb="11">
      <t>ヒリツ</t>
    </rPh>
    <rPh sb="12" eb="13">
      <t>ジョウ</t>
    </rPh>
    <rPh sb="16" eb="19">
      <t>ニホンジン</t>
    </rPh>
    <rPh sb="21" eb="23">
      <t>クブン</t>
    </rPh>
    <rPh sb="24" eb="28">
      <t>ライジョウシャスウ</t>
    </rPh>
    <rPh sb="29" eb="33">
      <t>ガイコクジンオ</t>
    </rPh>
    <rPh sb="33" eb="37">
      <t>ライジョウシャスウ</t>
    </rPh>
    <rPh sb="38" eb="40">
      <t>スイケイ</t>
    </rPh>
    <phoneticPr fontId="3"/>
  </si>
  <si>
    <t>・観光庁「共通基準による観光入込客統計」の、各都道府県別の観光目的の日本人の4区分ごとの観光消費額単価に上記比率を乗じて、</t>
    <rPh sb="22" eb="23">
      <t>カク</t>
    </rPh>
    <rPh sb="29" eb="33">
      <t>カンコウモクテキ</t>
    </rPh>
    <rPh sb="34" eb="37">
      <t>ニホンジン</t>
    </rPh>
    <rPh sb="39" eb="41">
      <t>クブン</t>
    </rPh>
    <phoneticPr fontId="3"/>
  </si>
  <si>
    <t>・日本人の4区分の来場者数と4区分の費目ごとの1人あたり消費額を乗じて、費目ごとの日本人来場者の消費額を推計。</t>
    <rPh sb="9" eb="13">
      <t>ライジョウシャスウ</t>
    </rPh>
    <rPh sb="15" eb="17">
      <t>クブン</t>
    </rPh>
    <rPh sb="18" eb="20">
      <t>ヒモク</t>
    </rPh>
    <rPh sb="32" eb="33">
      <t>ジョウ</t>
    </rPh>
    <rPh sb="36" eb="38">
      <t>ヒモク</t>
    </rPh>
    <rPh sb="41" eb="44">
      <t>ニホンジン</t>
    </rPh>
    <rPh sb="44" eb="47">
      <t>ライジョウシャ</t>
    </rPh>
    <rPh sb="48" eb="51">
      <t>ショウヒガク</t>
    </rPh>
    <rPh sb="52" eb="54">
      <t>スイケイ</t>
    </rPh>
    <phoneticPr fontId="3"/>
  </si>
  <si>
    <t>■「来場者支出パターン」について</t>
    <rPh sb="2" eb="5">
      <t>ライジョウシャ</t>
    </rPh>
    <rPh sb="5" eb="7">
      <t>シシュツ</t>
    </rPh>
    <phoneticPr fontId="3"/>
  </si>
  <si>
    <t>●なお、今年度はパターン①に該当する日本博標準来場者アンケート（来場者の支出額を把握するための項目入り）を採択事業者様に案内していないため、</t>
    <rPh sb="4" eb="7">
      <t>コンネンド</t>
    </rPh>
    <rPh sb="14" eb="16">
      <t>ガイトウ</t>
    </rPh>
    <rPh sb="18" eb="20">
      <t>ニホン</t>
    </rPh>
    <rPh sb="20" eb="21">
      <t>ハク</t>
    </rPh>
    <rPh sb="21" eb="23">
      <t>ヒョウジュン</t>
    </rPh>
    <rPh sb="23" eb="26">
      <t>ライジョウシャ</t>
    </rPh>
    <rPh sb="32" eb="35">
      <t>ライジョウシャ</t>
    </rPh>
    <rPh sb="36" eb="38">
      <t>シシュツ</t>
    </rPh>
    <rPh sb="38" eb="39">
      <t>ガク</t>
    </rPh>
    <rPh sb="40" eb="42">
      <t>ハアク</t>
    </rPh>
    <rPh sb="47" eb="49">
      <t>コウモク</t>
    </rPh>
    <rPh sb="49" eb="50">
      <t>イ</t>
    </rPh>
    <rPh sb="53" eb="55">
      <t>サイタク</t>
    </rPh>
    <rPh sb="55" eb="57">
      <t>ジギョウ</t>
    </rPh>
    <rPh sb="57" eb="58">
      <t>シャ</t>
    </rPh>
    <rPh sb="58" eb="59">
      <t>サマ</t>
    </rPh>
    <rPh sb="60" eb="62">
      <t>アンナイ</t>
    </rPh>
    <phoneticPr fontId="3"/>
  </si>
  <si>
    <t>　今年度はパターン②かパターン③のいずれかの選択となります。</t>
    <rPh sb="22" eb="24">
      <t>センタク</t>
    </rPh>
    <phoneticPr fontId="3"/>
  </si>
  <si>
    <r>
      <t>　・パターン①：日本博標準来場者アンケート（来場者の支出額を把握するための項目</t>
    </r>
    <r>
      <rPr>
        <u/>
        <sz val="9"/>
        <color theme="1"/>
        <rFont val="Meiryo UI"/>
        <family val="3"/>
        <charset val="128"/>
      </rPr>
      <t>入り</t>
    </r>
    <r>
      <rPr>
        <sz val="9"/>
        <color theme="1"/>
        <rFont val="Meiryo UI"/>
        <family val="2"/>
        <charset val="128"/>
      </rPr>
      <t>）を活用しており、一定数（30以上）の回収数がある場合。</t>
    </r>
    <rPh sb="22" eb="25">
      <t>ライジョウシャ</t>
    </rPh>
    <rPh sb="26" eb="28">
      <t>シシュツ</t>
    </rPh>
    <rPh sb="28" eb="29">
      <t>ガク</t>
    </rPh>
    <rPh sb="30" eb="32">
      <t>ハアク</t>
    </rPh>
    <rPh sb="37" eb="39">
      <t>コウモク</t>
    </rPh>
    <rPh sb="39" eb="40">
      <t>イ</t>
    </rPh>
    <rPh sb="43" eb="45">
      <t>カツヨウ</t>
    </rPh>
    <rPh sb="50" eb="53">
      <t>イッテイスウ</t>
    </rPh>
    <rPh sb="56" eb="58">
      <t>イジョウ</t>
    </rPh>
    <rPh sb="60" eb="62">
      <t>カイシュウ</t>
    </rPh>
    <rPh sb="62" eb="63">
      <t>スウ</t>
    </rPh>
    <rPh sb="66" eb="68">
      <t>バアイ</t>
    </rPh>
    <phoneticPr fontId="3"/>
  </si>
  <si>
    <r>
      <t>　・パターン②：日本博標準来場者アンケート（来場者の支出額を把握するための項目</t>
    </r>
    <r>
      <rPr>
        <u/>
        <sz val="9"/>
        <color theme="1"/>
        <rFont val="Meiryo UI"/>
        <family val="3"/>
        <charset val="128"/>
      </rPr>
      <t>なし</t>
    </r>
    <r>
      <rPr>
        <sz val="9"/>
        <color theme="1"/>
        <rFont val="Meiryo UI"/>
        <family val="2"/>
        <charset val="128"/>
      </rPr>
      <t>）を活用しており、一定数（30以上）の回収数がある場合。</t>
    </r>
    <rPh sb="22" eb="25">
      <t>ライジョウシャ</t>
    </rPh>
    <rPh sb="26" eb="28">
      <t>シシュツ</t>
    </rPh>
    <rPh sb="28" eb="29">
      <t>ガク</t>
    </rPh>
    <rPh sb="30" eb="32">
      <t>ハアク</t>
    </rPh>
    <rPh sb="37" eb="39">
      <t>コウモク</t>
    </rPh>
    <rPh sb="43" eb="45">
      <t>カツヨウ</t>
    </rPh>
    <rPh sb="50" eb="53">
      <t>イッテイスウ</t>
    </rPh>
    <rPh sb="60" eb="62">
      <t>カイシュウ</t>
    </rPh>
    <rPh sb="62" eb="63">
      <t>スウ</t>
    </rPh>
    <rPh sb="66" eb="68">
      <t>バアイ</t>
    </rPh>
    <phoneticPr fontId="3"/>
  </si>
  <si>
    <t>　・パターン③：日本博標準来場者アンケートを活用していない場合。活用しているが、30を下回る回収数である場合。</t>
    <rPh sb="22" eb="24">
      <t>カツヨウ</t>
    </rPh>
    <rPh sb="29" eb="31">
      <t>バアイ</t>
    </rPh>
    <rPh sb="32" eb="34">
      <t>カツヨウ</t>
    </rPh>
    <rPh sb="43" eb="45">
      <t>シタマワ</t>
    </rPh>
    <rPh sb="46" eb="48">
      <t>カイシュウ</t>
    </rPh>
    <rPh sb="48" eb="49">
      <t>スウ</t>
    </rPh>
    <rPh sb="52" eb="54">
      <t>バアイ</t>
    </rPh>
    <phoneticPr fontId="3"/>
  </si>
  <si>
    <t>　　　　　　　　　 それぞれの「団体･パック参加費」、「宿泊費」、「飲食費」、「交通費」、「娯楽等サービス費」、「買物代」、「その他」の1人あたり消費額を把握している場合。</t>
    <rPh sb="69" eb="70">
      <t>ニン</t>
    </rPh>
    <rPh sb="73" eb="76">
      <t>ショウヒガク</t>
    </rPh>
    <rPh sb="77" eb="79">
      <t>ハアク</t>
    </rPh>
    <rPh sb="83" eb="85">
      <t>バアイ</t>
    </rPh>
    <phoneticPr fontId="3"/>
  </si>
  <si>
    <t>　　　　　　　　　 あるいは、日本博標準来場者アンケートを使っていないが、日本人（県内・県外×宿泊・日帰の4区分）・外国人の来場者の比率と、</t>
    <rPh sb="15" eb="18">
      <t>ニホンハク</t>
    </rPh>
    <rPh sb="18" eb="20">
      <t>ヒョウジュ</t>
    </rPh>
    <rPh sb="20" eb="23">
      <t>ライジョウシャ</t>
    </rPh>
    <rPh sb="29" eb="30">
      <t>ツカ</t>
    </rPh>
    <rPh sb="37" eb="40">
      <t>ニホンジン</t>
    </rPh>
    <rPh sb="54" eb="56">
      <t>クブン</t>
    </rPh>
    <rPh sb="58" eb="61">
      <t>ガイコクジン</t>
    </rPh>
    <rPh sb="62" eb="65">
      <t>ライジョウシャ</t>
    </rPh>
    <rPh sb="66" eb="68">
      <t>ヒリツ</t>
    </rPh>
    <phoneticPr fontId="3"/>
  </si>
  <si>
    <t>●パターンは以下のとおり3つあります。最も状況にあてはまるものを選択してください。</t>
    <rPh sb="6" eb="8">
      <t>イカ</t>
    </rPh>
    <rPh sb="19" eb="20">
      <t>モット</t>
    </rPh>
    <rPh sb="21" eb="23">
      <t>ジョウキョウ</t>
    </rPh>
    <rPh sb="32" eb="34">
      <t>センタク</t>
    </rPh>
    <phoneticPr fontId="3"/>
  </si>
  <si>
    <t>　　　　　　　　　 あるいは、日本博標準来場者アンケートを使っていないが、日本人（県内・県外×宿泊・日帰の4区分）・外国人の来場者の比率を把握している場合。</t>
    <rPh sb="15" eb="18">
      <t>ニホンハク</t>
    </rPh>
    <rPh sb="18" eb="20">
      <t>ヒョウジュ</t>
    </rPh>
    <rPh sb="20" eb="23">
      <t>ライジョウシャ</t>
    </rPh>
    <rPh sb="29" eb="30">
      <t>ツカ</t>
    </rPh>
    <rPh sb="37" eb="40">
      <t>ニホンジン</t>
    </rPh>
    <rPh sb="54" eb="56">
      <t>クブン</t>
    </rPh>
    <rPh sb="58" eb="61">
      <t>ガイコクジン</t>
    </rPh>
    <rPh sb="62" eb="65">
      <t>ライジョウシャ</t>
    </rPh>
    <rPh sb="66" eb="68">
      <t>ヒリツ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</si>
</sst>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
    <numFmt numFmtId="177" formatCode="#,##0.0;[Red]\-#,##0.0"/>
    <numFmt numFmtId="178" formatCode="0.0%"/>
    <numFmt numFmtId="179" formatCode="0.000000"/>
    <numFmt numFmtId="180" formatCode="#,##0.00000000;[Red]\-#,##0.00000000"/>
  </numFmts>
  <fonts count="24" x14ac:knownFonts="1">
    <font>
      <sz val="9"/>
      <color theme="1"/>
      <name val="Meiryo UI"/>
      <family val="2"/>
      <charset val="128"/>
    </font>
    <font>
      <sz val="9"/>
      <color theme="1"/>
      <name val="Meiryo UI"/>
      <family val="2"/>
      <charset val="128"/>
    </font>
    <font>
      <sz val="9"/>
      <color theme="0"/>
      <name val="Meiryo UI"/>
      <family val="2"/>
      <charset val="128"/>
    </font>
    <font>
      <sz val="6"/>
      <name val="Meiryo UI"/>
      <family val="2"/>
      <charset val="128"/>
    </font>
    <font>
      <u/>
      <sz val="9"/>
      <color theme="10"/>
      <name val="Meiryo UI"/>
      <family val="2"/>
      <charset val="128"/>
    </font>
    <font>
      <sz val="9"/>
      <color theme="1"/>
      <name val="Meiryo UI"/>
      <family val="3"/>
      <charset val="128"/>
    </font>
    <font>
      <sz val="6"/>
      <name val="游ゴシック"/>
      <family val="3"/>
      <charset val="128"/>
      <scheme val="minor"/>
    </font>
    <font>
      <sz val="11"/>
      <name val="ＭＳ Ｐゴシック"/>
      <family val="3"/>
      <charset val="128"/>
    </font>
    <font>
      <sz val="6"/>
      <name val="ＭＳ Ｐゴシック"/>
      <family val="3"/>
      <charset val="128"/>
    </font>
    <font>
      <b/>
      <u/>
      <sz val="9"/>
      <color theme="1"/>
      <name val="Meiryo UI"/>
      <family val="3"/>
      <charset val="128"/>
    </font>
    <font>
      <sz val="11"/>
      <color theme="1"/>
      <name val="游ゴシック"/>
      <family val="2"/>
      <scheme val="minor"/>
    </font>
    <font>
      <sz val="8"/>
      <color rgb="FFFF0000"/>
      <name val="Meiryo UI"/>
      <family val="3"/>
      <charset val="128"/>
    </font>
    <font>
      <sz val="9"/>
      <name val="Meiryo UI"/>
      <family val="3"/>
      <charset val="128"/>
    </font>
    <font>
      <sz val="11"/>
      <color indexed="8"/>
      <name val="ＭＳ Ｐゴシック"/>
      <family val="3"/>
      <charset val="128"/>
    </font>
    <font>
      <sz val="10"/>
      <color theme="1"/>
      <name val="Meiryo UI"/>
      <family val="2"/>
      <charset val="128"/>
    </font>
    <font>
      <vertAlign val="superscript"/>
      <sz val="9"/>
      <color theme="1"/>
      <name val="Meiryo UI"/>
      <family val="3"/>
      <charset val="128"/>
    </font>
    <font>
      <sz val="18"/>
      <color theme="3"/>
      <name val="游ゴシック Light"/>
      <family val="2"/>
      <charset val="128"/>
      <scheme val="major"/>
    </font>
    <font>
      <b/>
      <sz val="11"/>
      <color theme="3"/>
      <name val="Meiryo UI"/>
      <family val="2"/>
      <charset val="128"/>
    </font>
    <font>
      <b/>
      <sz val="11"/>
      <color theme="1"/>
      <name val="Meiryo UI"/>
      <family val="3"/>
      <charset val="128"/>
    </font>
    <font>
      <sz val="11"/>
      <color theme="1"/>
      <name val="游ゴシック"/>
      <family val="2"/>
      <charset val="128"/>
      <scheme val="minor"/>
    </font>
    <font>
      <b/>
      <sz val="15"/>
      <color theme="3"/>
      <name val="Meiryo UI"/>
      <family val="2"/>
      <charset val="128"/>
    </font>
    <font>
      <sz val="6"/>
      <name val="游ゴシック"/>
      <family val="2"/>
      <charset val="128"/>
      <scheme val="minor"/>
    </font>
    <font>
      <b/>
      <sz val="9"/>
      <color theme="1"/>
      <name val="Meiryo UI"/>
      <family val="3"/>
      <charset val="128"/>
    </font>
    <font>
      <u/>
      <sz val="9"/>
      <color theme="1"/>
      <name val="Meiryo UI"/>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4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style="thin">
        <color theme="0" tint="-0.249977111117893"/>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right/>
      <top style="thin">
        <color theme="0" tint="-0.249977111117893"/>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double">
        <color theme="0" tint="-0.249977111117893"/>
      </bottom>
      <diagonal/>
    </border>
    <border>
      <left/>
      <right/>
      <top/>
      <bottom style="double">
        <color theme="0" tint="-0.249977111117893"/>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theme="0" tint="-0.249977111117893"/>
      </right>
      <top/>
      <bottom/>
      <diagonal/>
    </border>
  </borders>
  <cellStyleXfs count="1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7" fillId="0" borderId="0"/>
    <xf numFmtId="38" fontId="7" fillId="0" borderId="0" applyFont="0" applyFill="0" applyBorder="0" applyAlignment="0" applyProtection="0"/>
    <xf numFmtId="0" fontId="1" fillId="0" borderId="0">
      <alignment vertical="center"/>
    </xf>
    <xf numFmtId="38" fontId="10" fillId="0" borderId="0" applyFont="0" applyFill="0" applyBorder="0" applyAlignment="0" applyProtection="0">
      <alignment vertical="center"/>
    </xf>
    <xf numFmtId="40" fontId="10" fillId="0" borderId="0" applyFont="0" applyFill="0" applyBorder="0" applyAlignment="0" applyProtection="0">
      <alignment vertical="center"/>
    </xf>
    <xf numFmtId="38" fontId="13" fillId="0" borderId="0" applyFont="0" applyFill="0" applyBorder="0" applyAlignment="0" applyProtection="0">
      <alignment vertical="center"/>
    </xf>
    <xf numFmtId="0" fontId="13" fillId="0" borderId="0">
      <alignment vertical="center"/>
    </xf>
    <xf numFmtId="0" fontId="14" fillId="0" borderId="0">
      <alignment vertical="center"/>
    </xf>
    <xf numFmtId="38" fontId="14" fillId="0" borderId="0" applyFont="0" applyFill="0" applyBorder="0" applyAlignment="0" applyProtection="0">
      <alignment vertical="center"/>
    </xf>
    <xf numFmtId="38" fontId="1" fillId="0" borderId="0" applyFont="0" applyFill="0" applyBorder="0" applyAlignment="0" applyProtection="0">
      <alignment vertical="center"/>
    </xf>
    <xf numFmtId="0" fontId="19" fillId="0" borderId="0">
      <alignment vertical="center"/>
    </xf>
  </cellStyleXfs>
  <cellXfs count="194">
    <xf numFmtId="0" fontId="0" fillId="0" borderId="0" xfId="0">
      <alignment vertical="center"/>
    </xf>
    <xf numFmtId="0" fontId="9" fillId="0" borderId="0" xfId="0" applyFont="1">
      <alignment vertical="center"/>
    </xf>
    <xf numFmtId="0" fontId="5" fillId="0" borderId="0" xfId="0" applyFont="1">
      <alignment vertical="center"/>
    </xf>
    <xf numFmtId="176" fontId="5" fillId="0" borderId="0" xfId="5" applyNumberFormat="1" applyFont="1">
      <alignment vertical="center"/>
    </xf>
    <xf numFmtId="176" fontId="5" fillId="0" borderId="0" xfId="6" applyNumberFormat="1" applyFont="1">
      <alignment vertical="center"/>
    </xf>
    <xf numFmtId="176" fontId="5" fillId="0" borderId="0" xfId="5" applyNumberFormat="1" applyFont="1" applyAlignment="1">
      <alignment horizontal="right" vertical="center"/>
    </xf>
    <xf numFmtId="176" fontId="5" fillId="2" borderId="1" xfId="5" applyNumberFormat="1" applyFont="1" applyFill="1" applyBorder="1">
      <alignment vertical="center"/>
    </xf>
    <xf numFmtId="176" fontId="5" fillId="2" borderId="1" xfId="6" applyNumberFormat="1" applyFont="1" applyFill="1" applyBorder="1">
      <alignment vertical="center"/>
    </xf>
    <xf numFmtId="176" fontId="5" fillId="2" borderId="1" xfId="5" applyNumberFormat="1" applyFont="1" applyFill="1" applyBorder="1" applyAlignment="1">
      <alignment horizontal="left" vertical="center"/>
    </xf>
    <xf numFmtId="176" fontId="5" fillId="2" borderId="1" xfId="6" applyNumberFormat="1" applyFont="1" applyFill="1" applyBorder="1" applyAlignment="1">
      <alignment vertical="center" wrapText="1"/>
    </xf>
    <xf numFmtId="176" fontId="5" fillId="2" borderId="1" xfId="5" applyNumberFormat="1" applyFont="1" applyFill="1" applyBorder="1" applyAlignment="1">
      <alignment vertical="center" wrapText="1"/>
    </xf>
    <xf numFmtId="176" fontId="5" fillId="0" borderId="1" xfId="5" applyNumberFormat="1" applyFont="1" applyBorder="1">
      <alignment vertical="center"/>
    </xf>
    <xf numFmtId="0" fontId="5" fillId="2" borderId="1" xfId="0" applyFont="1" applyFill="1" applyBorder="1">
      <alignment vertical="center"/>
    </xf>
    <xf numFmtId="0" fontId="5" fillId="3" borderId="1" xfId="0" applyFont="1" applyFill="1" applyBorder="1">
      <alignment vertical="center"/>
    </xf>
    <xf numFmtId="38" fontId="5" fillId="3" borderId="1" xfId="1" applyFont="1" applyFill="1" applyBorder="1">
      <alignment vertical="center"/>
    </xf>
    <xf numFmtId="9" fontId="5" fillId="3" borderId="1" xfId="2" applyFont="1" applyFill="1" applyBorder="1">
      <alignment vertical="center"/>
    </xf>
    <xf numFmtId="0" fontId="5" fillId="0" borderId="0" xfId="0" applyFont="1" applyAlignment="1">
      <alignment horizontal="center" vertical="center"/>
    </xf>
    <xf numFmtId="0" fontId="5" fillId="0" borderId="1" xfId="0" applyFont="1" applyBorder="1">
      <alignment vertical="center"/>
    </xf>
    <xf numFmtId="9" fontId="5" fillId="0" borderId="1" xfId="2" applyFont="1" applyBorder="1">
      <alignment vertical="center"/>
    </xf>
    <xf numFmtId="38" fontId="5" fillId="0" borderId="1" xfId="1" applyFont="1" applyBorder="1">
      <alignment vertical="center"/>
    </xf>
    <xf numFmtId="9" fontId="5" fillId="2" borderId="1" xfId="2" applyFont="1" applyFill="1" applyBorder="1">
      <alignment vertical="center"/>
    </xf>
    <xf numFmtId="9" fontId="11" fillId="0" borderId="0" xfId="0" applyNumberFormat="1" applyFont="1">
      <alignment vertical="center"/>
    </xf>
    <xf numFmtId="38" fontId="5" fillId="0" borderId="1" xfId="0" applyNumberFormat="1" applyFont="1" applyBorder="1">
      <alignment vertical="center"/>
    </xf>
    <xf numFmtId="0" fontId="5" fillId="2" borderId="4" xfId="0" applyFont="1" applyFill="1" applyBorder="1">
      <alignment vertical="center"/>
    </xf>
    <xf numFmtId="0" fontId="12" fillId="0" borderId="0" xfId="3" applyFont="1" applyAlignment="1">
      <alignment vertical="center"/>
    </xf>
    <xf numFmtId="0" fontId="12" fillId="0" borderId="0" xfId="3" applyFont="1" applyAlignment="1">
      <alignment horizontal="center" vertical="center"/>
    </xf>
    <xf numFmtId="0" fontId="12" fillId="0" borderId="1" xfId="3" applyFont="1" applyBorder="1" applyAlignment="1">
      <alignment horizontal="left" vertical="center"/>
    </xf>
    <xf numFmtId="38" fontId="12" fillId="0" borderId="1" xfId="4" applyFont="1" applyFill="1" applyBorder="1" applyAlignment="1">
      <alignment horizontal="right" vertical="center"/>
    </xf>
    <xf numFmtId="0" fontId="12" fillId="0" borderId="1" xfId="3" applyFont="1" applyBorder="1" applyAlignment="1">
      <alignment vertical="center"/>
    </xf>
    <xf numFmtId="38" fontId="12" fillId="0" borderId="1" xfId="8" applyFont="1" applyFill="1" applyBorder="1" applyAlignment="1">
      <alignment horizontal="right" vertical="center"/>
    </xf>
    <xf numFmtId="0" fontId="12" fillId="0" borderId="1" xfId="9" applyFont="1" applyBorder="1" applyAlignment="1">
      <alignment horizontal="left" vertical="center"/>
    </xf>
    <xf numFmtId="38" fontId="12" fillId="0" borderId="1" xfId="4" applyFont="1" applyFill="1" applyBorder="1" applyAlignment="1">
      <alignment vertical="center"/>
    </xf>
    <xf numFmtId="38" fontId="12" fillId="2" borderId="1" xfId="4" applyFont="1" applyFill="1" applyBorder="1" applyAlignment="1">
      <alignment horizontal="left" vertical="center"/>
    </xf>
    <xf numFmtId="0" fontId="12" fillId="2" borderId="1" xfId="3" applyFont="1" applyFill="1" applyBorder="1" applyAlignment="1">
      <alignment horizontal="left" vertical="center"/>
    </xf>
    <xf numFmtId="0" fontId="5" fillId="0" borderId="0" xfId="10" applyFont="1">
      <alignment vertical="center"/>
    </xf>
    <xf numFmtId="177" fontId="5" fillId="0" borderId="0" xfId="11" applyNumberFormat="1" applyFont="1">
      <alignment vertical="center"/>
    </xf>
    <xf numFmtId="177" fontId="5" fillId="0" borderId="0" xfId="11" applyNumberFormat="1" applyFont="1" applyAlignment="1">
      <alignment horizontal="right" vertical="center"/>
    </xf>
    <xf numFmtId="0" fontId="5" fillId="0" borderId="0" xfId="10" applyFont="1" applyAlignment="1">
      <alignment horizontal="right" vertical="center"/>
    </xf>
    <xf numFmtId="0" fontId="5" fillId="0" borderId="8" xfId="10" applyFont="1" applyBorder="1">
      <alignment vertical="center"/>
    </xf>
    <xf numFmtId="177" fontId="5" fillId="0" borderId="9" xfId="11" applyNumberFormat="1" applyFont="1" applyBorder="1" applyAlignment="1">
      <alignment horizontal="right" vertical="center"/>
    </xf>
    <xf numFmtId="177" fontId="5" fillId="0" borderId="10" xfId="11" applyNumberFormat="1" applyFont="1" applyBorder="1" applyAlignment="1">
      <alignment horizontal="right" vertical="center"/>
    </xf>
    <xf numFmtId="177" fontId="5" fillId="0" borderId="11" xfId="11" applyNumberFormat="1" applyFont="1" applyBorder="1" applyAlignment="1">
      <alignment horizontal="right" vertical="center"/>
    </xf>
    <xf numFmtId="177" fontId="5" fillId="0" borderId="12" xfId="11" applyNumberFormat="1" applyFont="1" applyBorder="1" applyAlignment="1">
      <alignment horizontal="right" vertical="center"/>
    </xf>
    <xf numFmtId="0" fontId="5" fillId="0" borderId="13" xfId="10" applyFont="1" applyBorder="1">
      <alignment vertical="center"/>
    </xf>
    <xf numFmtId="177" fontId="5" fillId="0" borderId="14" xfId="11" applyNumberFormat="1" applyFont="1" applyBorder="1" applyAlignment="1">
      <alignment horizontal="right" vertical="center"/>
    </xf>
    <xf numFmtId="177" fontId="5" fillId="0" borderId="15" xfId="11" applyNumberFormat="1" applyFont="1" applyBorder="1" applyAlignment="1">
      <alignment horizontal="right" vertical="center"/>
    </xf>
    <xf numFmtId="177" fontId="5" fillId="0" borderId="16" xfId="11" applyNumberFormat="1" applyFont="1" applyBorder="1" applyAlignment="1">
      <alignment horizontal="right" vertical="center"/>
    </xf>
    <xf numFmtId="177" fontId="5" fillId="0" borderId="17" xfId="11" applyNumberFormat="1" applyFont="1" applyBorder="1" applyAlignment="1">
      <alignment horizontal="right" vertical="center"/>
    </xf>
    <xf numFmtId="177" fontId="5" fillId="0" borderId="0" xfId="10" applyNumberFormat="1" applyFont="1">
      <alignment vertical="center"/>
    </xf>
    <xf numFmtId="0" fontId="5" fillId="2" borderId="1" xfId="10" applyFont="1" applyFill="1" applyBorder="1" applyAlignment="1">
      <alignment horizontal="left" vertical="center"/>
    </xf>
    <xf numFmtId="177" fontId="5" fillId="2" borderId="1" xfId="11" applyNumberFormat="1" applyFont="1" applyFill="1" applyBorder="1" applyAlignment="1">
      <alignment horizontal="left" vertical="center"/>
    </xf>
    <xf numFmtId="38" fontId="5" fillId="2" borderId="1" xfId="11" applyFont="1" applyFill="1" applyBorder="1" applyAlignment="1">
      <alignment horizontal="left" vertical="center"/>
    </xf>
    <xf numFmtId="0" fontId="5" fillId="0" borderId="1" xfId="10" applyFont="1" applyBorder="1">
      <alignment vertical="center"/>
    </xf>
    <xf numFmtId="177" fontId="5" fillId="0" borderId="1" xfId="11" applyNumberFormat="1" applyFont="1" applyBorder="1" applyAlignment="1">
      <alignment horizontal="right" vertical="center"/>
    </xf>
    <xf numFmtId="0" fontId="0" fillId="2" borderId="1" xfId="0" applyFill="1" applyBorder="1">
      <alignment vertical="center"/>
    </xf>
    <xf numFmtId="38" fontId="0" fillId="0" borderId="1" xfId="1" applyFont="1" applyBorder="1">
      <alignment vertical="center"/>
    </xf>
    <xf numFmtId="38" fontId="5" fillId="4" borderId="1" xfId="1" applyFont="1" applyFill="1" applyBorder="1">
      <alignment vertical="center"/>
    </xf>
    <xf numFmtId="0" fontId="0" fillId="0" borderId="1" xfId="0" applyBorder="1">
      <alignment vertical="center"/>
    </xf>
    <xf numFmtId="177" fontId="5" fillId="0" borderId="1" xfId="1" applyNumberFormat="1" applyFont="1" applyFill="1" applyBorder="1">
      <alignment vertical="center"/>
    </xf>
    <xf numFmtId="38" fontId="0" fillId="0" borderId="1" xfId="0" applyNumberFormat="1" applyBorder="1">
      <alignment vertical="center"/>
    </xf>
    <xf numFmtId="0" fontId="0" fillId="5" borderId="1" xfId="0" applyFill="1" applyBorder="1">
      <alignment vertical="center"/>
    </xf>
    <xf numFmtId="0" fontId="5" fillId="5" borderId="1" xfId="0" applyFont="1" applyFill="1" applyBorder="1">
      <alignment vertical="center"/>
    </xf>
    <xf numFmtId="0" fontId="0" fillId="3" borderId="1" xfId="0" applyFill="1" applyBorder="1">
      <alignment vertical="center"/>
    </xf>
    <xf numFmtId="38" fontId="0" fillId="0" borderId="0" xfId="1" applyFont="1" applyBorder="1">
      <alignment vertical="center"/>
    </xf>
    <xf numFmtId="178" fontId="0" fillId="0" borderId="1" xfId="2" applyNumberFormat="1" applyFont="1" applyBorder="1">
      <alignment vertical="center"/>
    </xf>
    <xf numFmtId="0" fontId="5" fillId="0" borderId="0" xfId="0" applyFont="1" applyAlignment="1">
      <alignment vertical="center" wrapText="1"/>
    </xf>
    <xf numFmtId="38" fontId="9" fillId="0" borderId="0" xfId="6" applyFont="1" applyAlignment="1">
      <alignment vertical="top"/>
    </xf>
    <xf numFmtId="38" fontId="5" fillId="0" borderId="0" xfId="6" applyFont="1" applyAlignment="1">
      <alignment vertical="top"/>
    </xf>
    <xf numFmtId="0" fontId="0" fillId="0" borderId="0" xfId="0" applyAlignment="1">
      <alignment vertical="top"/>
    </xf>
    <xf numFmtId="38" fontId="5" fillId="0" borderId="1" xfId="6" applyFont="1" applyBorder="1" applyAlignment="1">
      <alignment vertical="top"/>
    </xf>
    <xf numFmtId="0" fontId="9" fillId="0" borderId="0" xfId="0" applyFont="1" applyAlignment="1">
      <alignment vertical="top"/>
    </xf>
    <xf numFmtId="38" fontId="5" fillId="2" borderId="1" xfId="6" applyFont="1" applyFill="1" applyBorder="1" applyAlignment="1">
      <alignment vertical="top"/>
    </xf>
    <xf numFmtId="0" fontId="0" fillId="2" borderId="1" xfId="0" applyFill="1" applyBorder="1" applyAlignment="1">
      <alignment vertical="top"/>
    </xf>
    <xf numFmtId="38" fontId="5" fillId="0" borderId="1" xfId="1" applyFont="1" applyBorder="1" applyAlignment="1">
      <alignment vertical="top"/>
    </xf>
    <xf numFmtId="38" fontId="5" fillId="0" borderId="0" xfId="6" applyFont="1" applyAlignment="1"/>
    <xf numFmtId="38" fontId="5" fillId="0" borderId="1" xfId="6" applyFont="1" applyBorder="1" applyAlignment="1"/>
    <xf numFmtId="38" fontId="5" fillId="2" borderId="1" xfId="6" applyFont="1" applyFill="1" applyBorder="1" applyAlignment="1"/>
    <xf numFmtId="177" fontId="0" fillId="0" borderId="1" xfId="1" applyNumberFormat="1" applyFont="1" applyBorder="1">
      <alignment vertical="center"/>
    </xf>
    <xf numFmtId="38" fontId="0" fillId="0" borderId="1" xfId="0" applyNumberFormat="1" applyBorder="1" applyAlignment="1">
      <alignment vertical="top"/>
    </xf>
    <xf numFmtId="0" fontId="5" fillId="0" borderId="0" xfId="13" applyFont="1">
      <alignment vertical="center"/>
    </xf>
    <xf numFmtId="0" fontId="5" fillId="0" borderId="28" xfId="13" applyFont="1" applyBorder="1">
      <alignment vertical="center"/>
    </xf>
    <xf numFmtId="0" fontId="5" fillId="0" borderId="29" xfId="13" applyFont="1" applyBorder="1">
      <alignment vertical="center"/>
    </xf>
    <xf numFmtId="0" fontId="5" fillId="0" borderId="30" xfId="13" applyFont="1" applyBorder="1">
      <alignment vertical="center"/>
    </xf>
    <xf numFmtId="0" fontId="5" fillId="0" borderId="31" xfId="13" applyFont="1" applyBorder="1">
      <alignment vertical="center"/>
    </xf>
    <xf numFmtId="0" fontId="5" fillId="0" borderId="32" xfId="13" applyFont="1" applyBorder="1">
      <alignment vertical="center"/>
    </xf>
    <xf numFmtId="0" fontId="5" fillId="0" borderId="27" xfId="13" applyFont="1" applyBorder="1">
      <alignment vertical="center"/>
    </xf>
    <xf numFmtId="0" fontId="5" fillId="0" borderId="33" xfId="13" applyFont="1" applyBorder="1">
      <alignment vertical="center"/>
    </xf>
    <xf numFmtId="0" fontId="5" fillId="0" borderId="34" xfId="13" applyFont="1" applyBorder="1">
      <alignment vertical="center"/>
    </xf>
    <xf numFmtId="179" fontId="5" fillId="0" borderId="35" xfId="13" applyNumberFormat="1" applyFont="1" applyBorder="1">
      <alignment vertical="center"/>
    </xf>
    <xf numFmtId="179" fontId="5" fillId="0" borderId="0" xfId="13" applyNumberFormat="1" applyFont="1">
      <alignment vertical="center"/>
    </xf>
    <xf numFmtId="179" fontId="5" fillId="0" borderId="36" xfId="13" applyNumberFormat="1" applyFont="1" applyBorder="1">
      <alignment vertical="center"/>
    </xf>
    <xf numFmtId="179" fontId="5" fillId="0" borderId="37" xfId="13" applyNumberFormat="1" applyFont="1" applyBorder="1">
      <alignment vertical="center"/>
    </xf>
    <xf numFmtId="0" fontId="5" fillId="0" borderId="35" xfId="13" applyFont="1" applyBorder="1">
      <alignment vertical="center"/>
    </xf>
    <xf numFmtId="179" fontId="5" fillId="0" borderId="34" xfId="13" applyNumberFormat="1" applyFont="1" applyBorder="1">
      <alignment vertical="center"/>
    </xf>
    <xf numFmtId="0" fontId="5" fillId="0" borderId="38" xfId="13" applyFont="1" applyBorder="1">
      <alignment vertical="center"/>
    </xf>
    <xf numFmtId="0" fontId="5" fillId="0" borderId="39" xfId="13" applyFont="1" applyBorder="1">
      <alignment vertical="center"/>
    </xf>
    <xf numFmtId="179" fontId="5" fillId="0" borderId="38" xfId="13" applyNumberFormat="1" applyFont="1" applyBorder="1">
      <alignment vertical="center"/>
    </xf>
    <xf numFmtId="179" fontId="5" fillId="0" borderId="40" xfId="13" applyNumberFormat="1" applyFont="1" applyBorder="1">
      <alignment vertical="center"/>
    </xf>
    <xf numFmtId="179" fontId="5" fillId="0" borderId="39" xfId="13" applyNumberFormat="1" applyFont="1" applyBorder="1">
      <alignment vertical="center"/>
    </xf>
    <xf numFmtId="179" fontId="5" fillId="0" borderId="27" xfId="13" applyNumberFormat="1" applyFont="1" applyBorder="1">
      <alignment vertical="center"/>
    </xf>
    <xf numFmtId="179" fontId="5" fillId="0" borderId="33" xfId="13" applyNumberFormat="1" applyFont="1" applyBorder="1">
      <alignment vertical="center"/>
    </xf>
    <xf numFmtId="0" fontId="5" fillId="6" borderId="0" xfId="13" applyFont="1" applyFill="1">
      <alignment vertical="center"/>
    </xf>
    <xf numFmtId="0" fontId="5" fillId="0" borderId="36" xfId="13" applyFont="1" applyBorder="1">
      <alignment vertical="center"/>
    </xf>
    <xf numFmtId="0" fontId="5" fillId="0" borderId="37" xfId="13" applyFont="1" applyBorder="1">
      <alignment vertical="center"/>
    </xf>
    <xf numFmtId="0" fontId="5" fillId="0" borderId="40" xfId="13" applyFont="1" applyBorder="1">
      <alignment vertical="center"/>
    </xf>
    <xf numFmtId="0" fontId="5" fillId="0" borderId="41" xfId="13" applyFont="1" applyBorder="1">
      <alignment vertical="center"/>
    </xf>
    <xf numFmtId="180" fontId="5" fillId="0" borderId="0" xfId="6" applyNumberFormat="1" applyFont="1">
      <alignment vertical="center"/>
    </xf>
    <xf numFmtId="38" fontId="5" fillId="2" borderId="18" xfId="1" applyFont="1" applyFill="1" applyBorder="1" applyAlignment="1">
      <alignment vertical="center"/>
    </xf>
    <xf numFmtId="176" fontId="5" fillId="2" borderId="20" xfId="5" applyNumberFormat="1" applyFont="1" applyFill="1" applyBorder="1">
      <alignment vertical="center"/>
    </xf>
    <xf numFmtId="176" fontId="5" fillId="2" borderId="3" xfId="5" applyNumberFormat="1" applyFont="1" applyFill="1" applyBorder="1">
      <alignment vertical="center"/>
    </xf>
    <xf numFmtId="176" fontId="5" fillId="2" borderId="7" xfId="5" applyNumberFormat="1" applyFont="1" applyFill="1" applyBorder="1">
      <alignment vertical="center"/>
    </xf>
    <xf numFmtId="176" fontId="5" fillId="2" borderId="2" xfId="5" applyNumberFormat="1" applyFont="1" applyFill="1" applyBorder="1">
      <alignment vertical="center"/>
    </xf>
    <xf numFmtId="176" fontId="5" fillId="2" borderId="19" xfId="5" applyNumberFormat="1" applyFont="1" applyFill="1" applyBorder="1">
      <alignment vertical="center"/>
    </xf>
    <xf numFmtId="176" fontId="5" fillId="2" borderId="18" xfId="5" applyNumberFormat="1" applyFont="1" applyFill="1" applyBorder="1">
      <alignment vertical="center"/>
    </xf>
    <xf numFmtId="176" fontId="5" fillId="2" borderId="4" xfId="5" applyNumberFormat="1" applyFont="1" applyFill="1" applyBorder="1">
      <alignment vertical="center"/>
    </xf>
    <xf numFmtId="38" fontId="5" fillId="2" borderId="2" xfId="1" applyFont="1" applyFill="1" applyBorder="1" applyAlignment="1">
      <alignment vertical="center"/>
    </xf>
    <xf numFmtId="176" fontId="5" fillId="2" borderId="22" xfId="5" applyNumberFormat="1" applyFont="1" applyFill="1" applyBorder="1">
      <alignment vertical="center"/>
    </xf>
    <xf numFmtId="176" fontId="5" fillId="2" borderId="5" xfId="5" applyNumberFormat="1" applyFont="1" applyFill="1" applyBorder="1">
      <alignment vertical="center"/>
    </xf>
    <xf numFmtId="176" fontId="5" fillId="2" borderId="23" xfId="5" applyNumberFormat="1" applyFont="1" applyFill="1" applyBorder="1">
      <alignment vertical="center"/>
    </xf>
    <xf numFmtId="176" fontId="5" fillId="2" borderId="24" xfId="5" applyNumberFormat="1" applyFont="1" applyFill="1" applyBorder="1">
      <alignment vertical="center"/>
    </xf>
    <xf numFmtId="38" fontId="5" fillId="2" borderId="22" xfId="1" applyFont="1" applyFill="1" applyBorder="1" applyAlignment="1">
      <alignment vertical="center"/>
    </xf>
    <xf numFmtId="176" fontId="5" fillId="2" borderId="6" xfId="5" applyNumberFormat="1" applyFont="1" applyFill="1" applyBorder="1">
      <alignment vertical="center"/>
    </xf>
    <xf numFmtId="176" fontId="5" fillId="2" borderId="21" xfId="5" applyNumberFormat="1" applyFont="1" applyFill="1" applyBorder="1">
      <alignment vertical="center"/>
    </xf>
    <xf numFmtId="38" fontId="5" fillId="0" borderId="6" xfId="1" applyFont="1" applyFill="1" applyBorder="1" applyAlignment="1">
      <alignment vertical="center"/>
    </xf>
    <xf numFmtId="38" fontId="5" fillId="0" borderId="1" xfId="1" applyFont="1" applyFill="1" applyBorder="1" applyAlignment="1">
      <alignment vertical="center"/>
    </xf>
    <xf numFmtId="176" fontId="5" fillId="0" borderId="1" xfId="6" applyNumberFormat="1" applyFont="1" applyFill="1" applyBorder="1" applyAlignment="1">
      <alignment vertical="center"/>
    </xf>
    <xf numFmtId="176" fontId="5" fillId="0" borderId="1" xfId="12" applyNumberFormat="1" applyFont="1" applyFill="1" applyBorder="1" applyAlignment="1">
      <alignment vertical="center"/>
    </xf>
    <xf numFmtId="38" fontId="5" fillId="5" borderId="6" xfId="1" applyFont="1" applyFill="1" applyBorder="1" applyAlignment="1">
      <alignment vertical="center"/>
    </xf>
    <xf numFmtId="176" fontId="5" fillId="0" borderId="26" xfId="5" applyNumberFormat="1" applyFont="1" applyBorder="1">
      <alignment vertical="center"/>
    </xf>
    <xf numFmtId="176" fontId="5" fillId="0" borderId="25" xfId="5" applyNumberFormat="1" applyFont="1" applyBorder="1">
      <alignment vertical="center"/>
    </xf>
    <xf numFmtId="38" fontId="5" fillId="0" borderId="25" xfId="1" applyFont="1" applyFill="1" applyBorder="1" applyAlignment="1">
      <alignment vertical="center"/>
    </xf>
    <xf numFmtId="176" fontId="5" fillId="0" borderId="25" xfId="6" applyNumberFormat="1" applyFont="1" applyFill="1" applyBorder="1" applyAlignment="1">
      <alignment vertical="center"/>
    </xf>
    <xf numFmtId="176" fontId="5" fillId="0" borderId="6" xfId="5" applyNumberFormat="1" applyFont="1" applyBorder="1">
      <alignment vertical="center"/>
    </xf>
    <xf numFmtId="38" fontId="5" fillId="0" borderId="0" xfId="1" applyFont="1" applyFill="1" applyAlignment="1">
      <alignment vertical="center"/>
    </xf>
    <xf numFmtId="176" fontId="5" fillId="0" borderId="0" xfId="6" applyNumberFormat="1" applyFont="1" applyFill="1" applyBorder="1" applyAlignment="1">
      <alignment vertical="center"/>
    </xf>
    <xf numFmtId="38" fontId="5" fillId="0" borderId="0" xfId="1" applyFont="1" applyAlignment="1">
      <alignment vertical="center"/>
    </xf>
    <xf numFmtId="176" fontId="5" fillId="2" borderId="0" xfId="5" applyNumberFormat="1" applyFont="1" applyFill="1">
      <alignment vertical="center"/>
    </xf>
    <xf numFmtId="176" fontId="5" fillId="2" borderId="42" xfId="5" applyNumberFormat="1" applyFont="1" applyFill="1" applyBorder="1">
      <alignment vertical="center"/>
    </xf>
    <xf numFmtId="40" fontId="5" fillId="0" borderId="1" xfId="1" applyNumberFormat="1" applyFont="1" applyFill="1" applyBorder="1" applyAlignment="1">
      <alignment vertical="center"/>
    </xf>
    <xf numFmtId="40" fontId="5" fillId="0" borderId="25" xfId="1" applyNumberFormat="1" applyFont="1" applyFill="1" applyBorder="1" applyAlignment="1">
      <alignment vertical="center"/>
    </xf>
    <xf numFmtId="176" fontId="5" fillId="0" borderId="1" xfId="5" applyNumberFormat="1" applyFont="1" applyBorder="1" applyAlignment="1">
      <alignment horizontal="right" vertical="center"/>
    </xf>
    <xf numFmtId="176" fontId="5" fillId="0" borderId="25" xfId="12" applyNumberFormat="1" applyFont="1" applyFill="1" applyBorder="1" applyAlignment="1">
      <alignment vertical="center"/>
    </xf>
    <xf numFmtId="38" fontId="0" fillId="0" borderId="0" xfId="1" applyFont="1">
      <alignment vertical="center"/>
    </xf>
    <xf numFmtId="0" fontId="0" fillId="2" borderId="2" xfId="0" applyFill="1" applyBorder="1">
      <alignment vertical="center"/>
    </xf>
    <xf numFmtId="0" fontId="0" fillId="2" borderId="3" xfId="0" applyFill="1" applyBorder="1">
      <alignment vertical="center"/>
    </xf>
    <xf numFmtId="3" fontId="5" fillId="0" borderId="0" xfId="0" applyNumberFormat="1" applyFont="1">
      <alignment vertical="center"/>
    </xf>
    <xf numFmtId="38" fontId="5" fillId="0" borderId="0" xfId="1" applyFont="1">
      <alignment vertical="center"/>
    </xf>
    <xf numFmtId="0" fontId="0" fillId="2" borderId="7" xfId="0" applyFill="1" applyBorder="1">
      <alignment vertical="center"/>
    </xf>
    <xf numFmtId="178" fontId="5" fillId="3" borderId="1" xfId="2" applyNumberFormat="1" applyFont="1" applyFill="1" applyBorder="1">
      <alignment vertical="center"/>
    </xf>
    <xf numFmtId="0" fontId="22" fillId="0" borderId="0" xfId="0" applyFont="1">
      <alignment vertical="center"/>
    </xf>
    <xf numFmtId="0" fontId="0" fillId="0" borderId="0" xfId="0" applyAlignment="1">
      <alignment vertical="center" wrapText="1"/>
    </xf>
    <xf numFmtId="0" fontId="0" fillId="0" borderId="0" xfId="0" quotePrefix="1">
      <alignment vertical="center"/>
    </xf>
    <xf numFmtId="0" fontId="5" fillId="2" borderId="4" xfId="0" applyFont="1" applyFill="1" applyBorder="1">
      <alignment vertical="center"/>
    </xf>
    <xf numFmtId="0" fontId="5" fillId="2" borderId="5" xfId="0" applyFont="1" applyFill="1" applyBorder="1">
      <alignment vertical="center"/>
    </xf>
    <xf numFmtId="0" fontId="5" fillId="2" borderId="6" xfId="0" applyFont="1" applyFill="1" applyBorder="1">
      <alignment vertical="center"/>
    </xf>
    <xf numFmtId="0" fontId="5" fillId="2" borderId="1" xfId="0" applyFont="1" applyFill="1" applyBorder="1">
      <alignment vertical="center"/>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5" fillId="2" borderId="2" xfId="0" applyFont="1" applyFill="1" applyBorder="1">
      <alignment vertical="center"/>
    </xf>
    <xf numFmtId="0" fontId="5" fillId="2" borderId="7" xfId="0" applyFont="1" applyFill="1" applyBorder="1">
      <alignment vertical="center"/>
    </xf>
    <xf numFmtId="0" fontId="5" fillId="2" borderId="3" xfId="0" applyFont="1" applyFill="1" applyBorder="1">
      <alignment vertical="center"/>
    </xf>
    <xf numFmtId="176" fontId="5" fillId="2" borderId="4" xfId="5" applyNumberFormat="1" applyFont="1" applyFill="1" applyBorder="1" applyAlignment="1">
      <alignment vertical="center" wrapText="1"/>
    </xf>
    <xf numFmtId="176" fontId="5" fillId="2" borderId="6" xfId="5" applyNumberFormat="1" applyFont="1" applyFill="1" applyBorder="1" applyAlignment="1">
      <alignment vertical="center" wrapText="1"/>
    </xf>
    <xf numFmtId="176" fontId="5" fillId="2" borderId="1" xfId="6" applyNumberFormat="1" applyFont="1" applyFill="1" applyBorder="1" applyAlignment="1">
      <alignment vertical="center" wrapText="1"/>
    </xf>
    <xf numFmtId="176" fontId="5" fillId="2" borderId="2" xfId="5" applyNumberFormat="1" applyFont="1" applyFill="1" applyBorder="1">
      <alignment vertical="center"/>
    </xf>
    <xf numFmtId="176" fontId="5" fillId="2" borderId="7" xfId="5" applyNumberFormat="1" applyFont="1" applyFill="1" applyBorder="1">
      <alignment vertical="center"/>
    </xf>
    <xf numFmtId="176" fontId="5" fillId="2" borderId="3" xfId="5" applyNumberFormat="1" applyFont="1" applyFill="1" applyBorder="1">
      <alignment vertical="center"/>
    </xf>
    <xf numFmtId="176" fontId="5" fillId="2" borderId="2" xfId="5" applyNumberFormat="1" applyFont="1" applyFill="1" applyBorder="1" applyAlignment="1">
      <alignment vertical="center" wrapText="1"/>
    </xf>
    <xf numFmtId="176" fontId="5" fillId="2" borderId="7" xfId="5" applyNumberFormat="1" applyFont="1" applyFill="1" applyBorder="1" applyAlignment="1">
      <alignment vertical="center" wrapText="1"/>
    </xf>
    <xf numFmtId="176" fontId="5" fillId="2" borderId="3" xfId="5" applyNumberFormat="1" applyFont="1" applyFill="1" applyBorder="1" applyAlignment="1">
      <alignment vertical="center" wrapText="1"/>
    </xf>
    <xf numFmtId="38" fontId="5" fillId="2" borderId="4" xfId="6" applyFont="1" applyFill="1" applyBorder="1" applyAlignment="1">
      <alignment vertical="top"/>
    </xf>
    <xf numFmtId="38" fontId="5" fillId="2" borderId="5" xfId="6" applyFont="1" applyFill="1" applyBorder="1" applyAlignment="1">
      <alignment vertical="top"/>
    </xf>
    <xf numFmtId="38" fontId="5" fillId="2" borderId="6" xfId="6" applyFont="1" applyFill="1" applyBorder="1" applyAlignment="1">
      <alignment vertical="top"/>
    </xf>
    <xf numFmtId="38" fontId="5" fillId="2" borderId="2" xfId="6" applyFont="1" applyFill="1" applyBorder="1" applyAlignment="1">
      <alignment vertical="top"/>
    </xf>
    <xf numFmtId="38" fontId="5" fillId="2" borderId="3" xfId="6" applyFont="1" applyFill="1" applyBorder="1" applyAlignment="1">
      <alignment vertical="top"/>
    </xf>
    <xf numFmtId="0" fontId="0" fillId="2" borderId="4" xfId="0" applyFill="1" applyBorder="1" applyAlignment="1">
      <alignment vertical="top"/>
    </xf>
    <xf numFmtId="0" fontId="0" fillId="2" borderId="5" xfId="0" applyFill="1" applyBorder="1" applyAlignment="1">
      <alignment vertical="top"/>
    </xf>
    <xf numFmtId="0" fontId="0" fillId="2" borderId="6" xfId="0" applyFill="1" applyBorder="1" applyAlignment="1">
      <alignment vertical="top"/>
    </xf>
    <xf numFmtId="0" fontId="0" fillId="2" borderId="1"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5" borderId="1" xfId="0" applyFill="1" applyBorder="1">
      <alignment vertical="center"/>
    </xf>
    <xf numFmtId="176" fontId="5" fillId="2" borderId="1" xfId="5" applyNumberFormat="1" applyFont="1" applyFill="1" applyBorder="1">
      <alignment vertical="center"/>
    </xf>
    <xf numFmtId="176" fontId="5" fillId="2" borderId="4" xfId="5" applyNumberFormat="1" applyFont="1" applyFill="1" applyBorder="1">
      <alignment vertical="center"/>
    </xf>
    <xf numFmtId="176" fontId="5" fillId="2" borderId="18" xfId="5" applyNumberFormat="1" applyFont="1" applyFill="1" applyBorder="1">
      <alignment vertical="center"/>
    </xf>
    <xf numFmtId="176" fontId="5" fillId="2" borderId="18" xfId="5" applyNumberFormat="1" applyFont="1" applyFill="1" applyBorder="1" applyAlignment="1">
      <alignment vertical="top"/>
    </xf>
    <xf numFmtId="176" fontId="5" fillId="2" borderId="21" xfId="5" applyNumberFormat="1" applyFont="1" applyFill="1" applyBorder="1" applyAlignment="1">
      <alignment vertical="top"/>
    </xf>
    <xf numFmtId="176" fontId="5" fillId="2" borderId="22" xfId="5" applyNumberFormat="1" applyFont="1" applyFill="1" applyBorder="1" applyAlignment="1">
      <alignment vertical="top"/>
    </xf>
    <xf numFmtId="0" fontId="12" fillId="2" borderId="1" xfId="3" applyFont="1" applyFill="1" applyBorder="1" applyAlignment="1">
      <alignment horizontal="left" vertical="center"/>
    </xf>
    <xf numFmtId="0" fontId="5" fillId="2" borderId="1" xfId="10" applyFont="1" applyFill="1" applyBorder="1" applyAlignment="1">
      <alignment horizontal="left" vertical="center"/>
    </xf>
    <xf numFmtId="0" fontId="5" fillId="2" borderId="1" xfId="10" applyFont="1" applyFill="1" applyBorder="1" applyAlignment="1">
      <alignment horizontal="left" vertical="center" wrapText="1"/>
    </xf>
    <xf numFmtId="177" fontId="5" fillId="2" borderId="1" xfId="11" applyNumberFormat="1" applyFont="1" applyFill="1" applyBorder="1" applyAlignment="1">
      <alignment horizontal="left" vertical="center"/>
    </xf>
    <xf numFmtId="0" fontId="5" fillId="0" borderId="27" xfId="13" applyFont="1" applyBorder="1">
      <alignment vertical="center"/>
    </xf>
  </cellXfs>
  <cellStyles count="14">
    <cellStyle name="パーセント" xfId="2" builtinId="5"/>
    <cellStyle name="桁区切り" xfId="1" builtinId="6"/>
    <cellStyle name="桁区切り [0.00] 2" xfId="7" xr:uid="{326BA4C7-4FF3-4956-B4F3-38837AA4575A}"/>
    <cellStyle name="桁区切り 2" xfId="6" xr:uid="{2A1A432E-8E64-47BD-A517-27573B98B69A}"/>
    <cellStyle name="桁区切り 3" xfId="4" xr:uid="{03F893F2-4859-42A2-A016-89752616C151}"/>
    <cellStyle name="桁区切り 3 2" xfId="8" xr:uid="{F3B1C09D-369D-47B3-A377-C1E879B0EA88}"/>
    <cellStyle name="桁区切り 5" xfId="11" xr:uid="{D9D25DBB-5677-4CCE-8AE4-35EC9C94B06C}"/>
    <cellStyle name="桁区切り 6" xfId="12" xr:uid="{605462F7-912E-42BA-B997-E0285F90CA69}"/>
    <cellStyle name="標準" xfId="0" builtinId="0"/>
    <cellStyle name="標準 2" xfId="13" xr:uid="{E8EE3A21-4523-43B6-A6F0-44170DA98059}"/>
    <cellStyle name="標準 3" xfId="3" xr:uid="{1803E42D-67FC-485C-9F0F-38D7C3837A32}"/>
    <cellStyle name="標準 3 2" xfId="9" xr:uid="{9E12A697-7971-4FC4-8C64-28CC04E80011}"/>
    <cellStyle name="標準 5" xfId="10" xr:uid="{D135C5A5-4A74-41E9-9ED3-265D7EC76A45}"/>
    <cellStyle name="標準 6" xfId="5" xr:uid="{5C33A84E-F45C-4638-A668-79C480E3D5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61463-5066-48F3-A607-B4513289C5BA}">
  <dimension ref="B2:D92"/>
  <sheetViews>
    <sheetView showGridLines="0" tabSelected="1" workbookViewId="0"/>
  </sheetViews>
  <sheetFormatPr defaultColWidth="3.42578125" defaultRowHeight="12" x14ac:dyDescent="0.2"/>
  <cols>
    <col min="4" max="4" width="8.140625" bestFit="1" customWidth="1"/>
  </cols>
  <sheetData>
    <row r="2" spans="2:3" x14ac:dyDescent="0.2">
      <c r="B2" t="s">
        <v>585</v>
      </c>
    </row>
    <row r="3" spans="2:3" ht="6" customHeight="1" x14ac:dyDescent="0.2"/>
    <row r="4" spans="2:3" x14ac:dyDescent="0.2">
      <c r="C4" t="s">
        <v>573</v>
      </c>
    </row>
    <row r="5" spans="2:3" x14ac:dyDescent="0.2">
      <c r="C5" s="149" t="s">
        <v>565</v>
      </c>
    </row>
    <row r="6" spans="2:3" x14ac:dyDescent="0.2">
      <c r="C6" t="s">
        <v>574</v>
      </c>
    </row>
    <row r="7" spans="2:3" x14ac:dyDescent="0.2">
      <c r="C7" t="s">
        <v>580</v>
      </c>
    </row>
    <row r="8" spans="2:3" x14ac:dyDescent="0.2">
      <c r="C8" s="149" t="s">
        <v>565</v>
      </c>
    </row>
    <row r="9" spans="2:3" x14ac:dyDescent="0.2">
      <c r="C9" t="s">
        <v>575</v>
      </c>
    </row>
    <row r="10" spans="2:3" x14ac:dyDescent="0.2">
      <c r="C10" t="s">
        <v>571</v>
      </c>
    </row>
    <row r="11" spans="2:3" x14ac:dyDescent="0.2">
      <c r="C11" s="149" t="s">
        <v>565</v>
      </c>
    </row>
    <row r="12" spans="2:3" x14ac:dyDescent="0.2">
      <c r="C12" t="s">
        <v>576</v>
      </c>
    </row>
    <row r="13" spans="2:3" x14ac:dyDescent="0.2">
      <c r="C13" t="s">
        <v>578</v>
      </c>
    </row>
    <row r="14" spans="2:3" x14ac:dyDescent="0.2">
      <c r="C14" s="149" t="s">
        <v>565</v>
      </c>
    </row>
    <row r="15" spans="2:3" x14ac:dyDescent="0.2">
      <c r="C15" t="s">
        <v>577</v>
      </c>
    </row>
    <row r="16" spans="2:3" x14ac:dyDescent="0.2">
      <c r="C16" t="s">
        <v>572</v>
      </c>
    </row>
    <row r="17" spans="2:3" x14ac:dyDescent="0.2">
      <c r="C17" s="149" t="s">
        <v>565</v>
      </c>
    </row>
    <row r="18" spans="2:3" x14ac:dyDescent="0.2">
      <c r="C18" t="s">
        <v>579</v>
      </c>
    </row>
    <row r="19" spans="2:3" x14ac:dyDescent="0.2">
      <c r="C19" s="149" t="s">
        <v>565</v>
      </c>
    </row>
    <row r="20" spans="2:3" x14ac:dyDescent="0.2">
      <c r="C20" t="s">
        <v>581</v>
      </c>
    </row>
    <row r="22" spans="2:3" x14ac:dyDescent="0.2">
      <c r="B22" t="s">
        <v>622</v>
      </c>
    </row>
    <row r="23" spans="2:3" ht="6" customHeight="1" x14ac:dyDescent="0.2"/>
    <row r="24" spans="2:3" x14ac:dyDescent="0.2">
      <c r="C24" t="s">
        <v>630</v>
      </c>
    </row>
    <row r="25" spans="2:3" x14ac:dyDescent="0.2">
      <c r="C25" t="s">
        <v>625</v>
      </c>
    </row>
    <row r="26" spans="2:3" x14ac:dyDescent="0.2">
      <c r="C26" t="s">
        <v>629</v>
      </c>
    </row>
    <row r="27" spans="2:3" x14ac:dyDescent="0.2">
      <c r="C27" t="s">
        <v>628</v>
      </c>
    </row>
    <row r="28" spans="2:3" x14ac:dyDescent="0.2">
      <c r="C28" t="s">
        <v>626</v>
      </c>
    </row>
    <row r="29" spans="2:3" x14ac:dyDescent="0.2">
      <c r="C29" t="s">
        <v>631</v>
      </c>
    </row>
    <row r="30" spans="2:3" x14ac:dyDescent="0.2">
      <c r="C30" t="s">
        <v>627</v>
      </c>
    </row>
    <row r="31" spans="2:3" x14ac:dyDescent="0.2">
      <c r="C31" t="s">
        <v>623</v>
      </c>
    </row>
    <row r="32" spans="2:3" x14ac:dyDescent="0.2">
      <c r="C32" t="s">
        <v>624</v>
      </c>
    </row>
    <row r="34" spans="2:4" x14ac:dyDescent="0.2">
      <c r="B34" t="s">
        <v>582</v>
      </c>
    </row>
    <row r="35" spans="2:4" ht="6" customHeight="1" x14ac:dyDescent="0.2"/>
    <row r="36" spans="2:4" x14ac:dyDescent="0.2">
      <c r="C36" t="s">
        <v>583</v>
      </c>
    </row>
    <row r="37" spans="2:4" x14ac:dyDescent="0.2">
      <c r="C37" t="s">
        <v>584</v>
      </c>
    </row>
    <row r="38" spans="2:4" x14ac:dyDescent="0.2">
      <c r="C38" t="s">
        <v>586</v>
      </c>
    </row>
    <row r="39" spans="2:4" x14ac:dyDescent="0.2">
      <c r="C39" t="s">
        <v>587</v>
      </c>
    </row>
    <row r="41" spans="2:4" x14ac:dyDescent="0.2">
      <c r="B41" s="151" t="s">
        <v>613</v>
      </c>
    </row>
    <row r="42" spans="2:4" x14ac:dyDescent="0.2">
      <c r="B42" t="s">
        <v>590</v>
      </c>
    </row>
    <row r="43" spans="2:4" ht="6" customHeight="1" x14ac:dyDescent="0.2"/>
    <row r="44" spans="2:4" x14ac:dyDescent="0.2">
      <c r="C44" t="s">
        <v>588</v>
      </c>
    </row>
    <row r="45" spans="2:4" x14ac:dyDescent="0.2">
      <c r="D45" t="s">
        <v>596</v>
      </c>
    </row>
    <row r="46" spans="2:4" x14ac:dyDescent="0.2">
      <c r="D46" t="s">
        <v>614</v>
      </c>
    </row>
    <row r="47" spans="2:4" x14ac:dyDescent="0.2">
      <c r="D47" t="s">
        <v>615</v>
      </c>
    </row>
    <row r="48" spans="2:4" x14ac:dyDescent="0.2">
      <c r="D48" t="s">
        <v>592</v>
      </c>
    </row>
    <row r="49" spans="3:4" x14ac:dyDescent="0.2">
      <c r="D49" t="s">
        <v>621</v>
      </c>
    </row>
    <row r="50" spans="3:4" x14ac:dyDescent="0.2">
      <c r="D50" t="s">
        <v>616</v>
      </c>
    </row>
    <row r="51" spans="3:4" x14ac:dyDescent="0.2">
      <c r="D51" t="s">
        <v>594</v>
      </c>
    </row>
    <row r="52" spans="3:4" x14ac:dyDescent="0.2">
      <c r="D52" t="s">
        <v>591</v>
      </c>
    </row>
    <row r="53" spans="3:4" x14ac:dyDescent="0.2">
      <c r="D53" t="s">
        <v>597</v>
      </c>
    </row>
    <row r="54" spans="3:4" x14ac:dyDescent="0.2">
      <c r="D54" t="s">
        <v>593</v>
      </c>
    </row>
    <row r="55" spans="3:4" x14ac:dyDescent="0.2">
      <c r="D55" t="s">
        <v>595</v>
      </c>
    </row>
    <row r="56" spans="3:4" x14ac:dyDescent="0.2">
      <c r="C56" s="150"/>
      <c r="D56" t="s">
        <v>598</v>
      </c>
    </row>
    <row r="57" spans="3:4" x14ac:dyDescent="0.2">
      <c r="D57" t="s">
        <v>599</v>
      </c>
    </row>
    <row r="58" spans="3:4" x14ac:dyDescent="0.2">
      <c r="C58" s="150"/>
      <c r="D58" t="s">
        <v>600</v>
      </c>
    </row>
    <row r="59" spans="3:4" x14ac:dyDescent="0.2">
      <c r="C59" s="150"/>
      <c r="D59" t="s">
        <v>617</v>
      </c>
    </row>
    <row r="60" spans="3:4" x14ac:dyDescent="0.2">
      <c r="C60" s="150"/>
    </row>
    <row r="61" spans="3:4" x14ac:dyDescent="0.2">
      <c r="C61" t="s">
        <v>589</v>
      </c>
    </row>
    <row r="62" spans="3:4" x14ac:dyDescent="0.2">
      <c r="D62" t="s">
        <v>596</v>
      </c>
    </row>
    <row r="63" spans="3:4" x14ac:dyDescent="0.2">
      <c r="D63" t="s">
        <v>618</v>
      </c>
    </row>
    <row r="64" spans="3:4" x14ac:dyDescent="0.2">
      <c r="D64" t="s">
        <v>619</v>
      </c>
    </row>
    <row r="65" spans="3:4" x14ac:dyDescent="0.2">
      <c r="D65" t="s">
        <v>603</v>
      </c>
    </row>
    <row r="66" spans="3:4" x14ac:dyDescent="0.2">
      <c r="C66" s="150"/>
      <c r="D66" t="s">
        <v>598</v>
      </c>
    </row>
    <row r="67" spans="3:4" x14ac:dyDescent="0.2">
      <c r="D67" t="s">
        <v>620</v>
      </c>
    </row>
    <row r="68" spans="3:4" x14ac:dyDescent="0.2">
      <c r="D68" t="s">
        <v>604</v>
      </c>
    </row>
    <row r="69" spans="3:4" x14ac:dyDescent="0.2">
      <c r="D69" t="s">
        <v>601</v>
      </c>
    </row>
    <row r="70" spans="3:4" x14ac:dyDescent="0.2">
      <c r="D70" t="s">
        <v>591</v>
      </c>
    </row>
    <row r="71" spans="3:4" x14ac:dyDescent="0.2">
      <c r="D71" t="s">
        <v>597</v>
      </c>
    </row>
    <row r="72" spans="3:4" x14ac:dyDescent="0.2">
      <c r="D72" t="s">
        <v>621</v>
      </c>
    </row>
    <row r="73" spans="3:4" x14ac:dyDescent="0.2">
      <c r="D73" t="s">
        <v>602</v>
      </c>
    </row>
    <row r="74" spans="3:4" x14ac:dyDescent="0.2">
      <c r="D74" t="s">
        <v>593</v>
      </c>
    </row>
    <row r="75" spans="3:4" x14ac:dyDescent="0.2">
      <c r="D75" t="s">
        <v>595</v>
      </c>
    </row>
    <row r="76" spans="3:4" x14ac:dyDescent="0.2">
      <c r="D76" t="s">
        <v>598</v>
      </c>
    </row>
    <row r="77" spans="3:4" x14ac:dyDescent="0.2">
      <c r="C77" s="150"/>
      <c r="D77" t="s">
        <v>599</v>
      </c>
    </row>
    <row r="78" spans="3:4" x14ac:dyDescent="0.2">
      <c r="D78" t="s">
        <v>600</v>
      </c>
    </row>
    <row r="79" spans="3:4" x14ac:dyDescent="0.2">
      <c r="C79" s="150"/>
      <c r="D79" t="s">
        <v>617</v>
      </c>
    </row>
    <row r="80" spans="3:4" x14ac:dyDescent="0.2">
      <c r="C80" s="150"/>
    </row>
    <row r="81" spans="3:4" x14ac:dyDescent="0.2">
      <c r="C81" t="s">
        <v>605</v>
      </c>
    </row>
    <row r="82" spans="3:4" x14ac:dyDescent="0.2">
      <c r="D82" t="s">
        <v>606</v>
      </c>
    </row>
    <row r="83" spans="3:4" x14ac:dyDescent="0.2">
      <c r="D83" t="s">
        <v>594</v>
      </c>
    </row>
    <row r="84" spans="3:4" x14ac:dyDescent="0.2">
      <c r="D84" t="s">
        <v>591</v>
      </c>
    </row>
    <row r="85" spans="3:4" x14ac:dyDescent="0.2">
      <c r="D85" t="s">
        <v>597</v>
      </c>
    </row>
    <row r="86" spans="3:4" x14ac:dyDescent="0.2">
      <c r="D86" t="s">
        <v>607</v>
      </c>
    </row>
    <row r="87" spans="3:4" x14ac:dyDescent="0.2">
      <c r="D87" t="s">
        <v>608</v>
      </c>
    </row>
    <row r="88" spans="3:4" x14ac:dyDescent="0.2">
      <c r="C88" s="150"/>
      <c r="D88" t="s">
        <v>598</v>
      </c>
    </row>
    <row r="89" spans="3:4" x14ac:dyDescent="0.2">
      <c r="D89" t="s">
        <v>609</v>
      </c>
    </row>
    <row r="90" spans="3:4" x14ac:dyDescent="0.2">
      <c r="D90" t="s">
        <v>610</v>
      </c>
    </row>
    <row r="91" spans="3:4" x14ac:dyDescent="0.2">
      <c r="D91" t="s">
        <v>611</v>
      </c>
    </row>
    <row r="92" spans="3:4" x14ac:dyDescent="0.2">
      <c r="D92" t="s">
        <v>612</v>
      </c>
    </row>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36BAC-266E-4265-8043-036273249AA3}">
  <dimension ref="B2:D5"/>
  <sheetViews>
    <sheetView showGridLines="0" zoomScaleNormal="100" workbookViewId="0">
      <selection activeCell="C4" sqref="C4"/>
    </sheetView>
  </sheetViews>
  <sheetFormatPr defaultRowHeight="15" customHeight="1" x14ac:dyDescent="0.2"/>
  <cols>
    <col min="1" max="1" width="3.28515625" customWidth="1"/>
    <col min="2" max="2" width="2.28515625" customWidth="1"/>
    <col min="3" max="3" width="18.140625" customWidth="1"/>
    <col min="4" max="4" width="25.85546875" customWidth="1"/>
    <col min="5" max="5" width="55" customWidth="1"/>
  </cols>
  <sheetData>
    <row r="2" spans="2:4" ht="15" customHeight="1" x14ac:dyDescent="0.2">
      <c r="B2" s="2" t="s">
        <v>115</v>
      </c>
    </row>
    <row r="3" spans="2:4" ht="15" customHeight="1" x14ac:dyDescent="0.2">
      <c r="B3" s="2"/>
    </row>
    <row r="4" spans="2:4" ht="15" customHeight="1" x14ac:dyDescent="0.2">
      <c r="C4" s="54" t="s">
        <v>109</v>
      </c>
      <c r="D4" s="62"/>
    </row>
    <row r="5" spans="2:4" ht="15" customHeight="1" x14ac:dyDescent="0.2">
      <c r="C5" s="54" t="s">
        <v>110</v>
      </c>
      <c r="D5" s="62"/>
    </row>
  </sheetData>
  <phoneticPr fontId="3"/>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E491DCEF-0FE7-4DEC-BC5F-5162D7181B79}">
          <x14:formula1>
            <xm:f>'（リスト用）'!$C$2:$C$6</xm:f>
          </x14:formula1>
          <xm:sqref>D4</xm:sqref>
        </x14:dataValidation>
        <x14:dataValidation type="list" allowBlank="1" showInputMessage="1" showErrorMessage="1" xr:uid="{86174A4D-92AA-4CA4-9CC4-37F7304C455D}">
          <x14:formula1>
            <xm:f>'（リスト用）'!$D$2:$D$4</xm:f>
          </x14:formula1>
          <xm:sqref>D5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13331-8CDC-4F39-8DC6-DD2BE4BA03CC}">
  <dimension ref="C2:J31"/>
  <sheetViews>
    <sheetView showGridLines="0" workbookViewId="0">
      <selection activeCell="C19" sqref="C19"/>
    </sheetView>
  </sheetViews>
  <sheetFormatPr defaultColWidth="8.7109375" defaultRowHeight="15" customHeight="1" x14ac:dyDescent="0.2"/>
  <cols>
    <col min="1" max="1" width="3.5703125" style="2" customWidth="1"/>
    <col min="2" max="4" width="2.28515625" style="2" customWidth="1"/>
    <col min="5" max="8" width="19.7109375" style="2" customWidth="1"/>
    <col min="9" max="12" width="16" style="2" customWidth="1"/>
    <col min="13" max="13" width="12.42578125" style="2" customWidth="1"/>
    <col min="14" max="16384" width="8.7109375" style="2"/>
  </cols>
  <sheetData>
    <row r="2" spans="3:10" ht="15" customHeight="1" x14ac:dyDescent="0.2">
      <c r="C2" s="1" t="s">
        <v>237</v>
      </c>
      <c r="D2" s="1"/>
      <c r="E2" s="1"/>
      <c r="F2" s="1"/>
      <c r="G2" s="1"/>
      <c r="H2" s="1"/>
    </row>
    <row r="4" spans="3:10" ht="15" customHeight="1" x14ac:dyDescent="0.2">
      <c r="C4" s="2" t="s">
        <v>566</v>
      </c>
    </row>
    <row r="5" spans="3:10" ht="15" customHeight="1" x14ac:dyDescent="0.2">
      <c r="E5" s="152" t="s">
        <v>250</v>
      </c>
      <c r="F5" s="12" t="s">
        <v>251</v>
      </c>
      <c r="G5" s="12" t="s">
        <v>253</v>
      </c>
      <c r="H5" s="14"/>
      <c r="J5" s="146"/>
    </row>
    <row r="6" spans="3:10" ht="15" customHeight="1" x14ac:dyDescent="0.2">
      <c r="E6" s="153"/>
      <c r="F6" s="152" t="s">
        <v>254</v>
      </c>
      <c r="G6" s="12" t="s">
        <v>238</v>
      </c>
      <c r="H6" s="14"/>
      <c r="J6" s="146"/>
    </row>
    <row r="7" spans="3:10" ht="15" customHeight="1" x14ac:dyDescent="0.2">
      <c r="E7" s="153"/>
      <c r="F7" s="153"/>
      <c r="G7" s="12" t="s">
        <v>239</v>
      </c>
      <c r="H7" s="14"/>
      <c r="J7" s="146"/>
    </row>
    <row r="8" spans="3:10" ht="15" customHeight="1" x14ac:dyDescent="0.2">
      <c r="E8" s="153"/>
      <c r="F8" s="153"/>
      <c r="G8" s="12" t="s">
        <v>240</v>
      </c>
      <c r="H8" s="14"/>
      <c r="J8" s="146"/>
    </row>
    <row r="9" spans="3:10" ht="15" customHeight="1" x14ac:dyDescent="0.2">
      <c r="E9" s="153"/>
      <c r="F9" s="153"/>
      <c r="G9" s="12" t="s">
        <v>241</v>
      </c>
      <c r="H9" s="14"/>
      <c r="J9" s="146"/>
    </row>
    <row r="10" spans="3:10" ht="15" customHeight="1" x14ac:dyDescent="0.2">
      <c r="E10" s="153"/>
      <c r="F10" s="153"/>
      <c r="G10" s="12" t="s">
        <v>242</v>
      </c>
      <c r="H10" s="14"/>
      <c r="J10" s="146"/>
    </row>
    <row r="11" spans="3:10" ht="15" customHeight="1" x14ac:dyDescent="0.2">
      <c r="E11" s="153"/>
      <c r="F11" s="153"/>
      <c r="G11" s="12" t="s">
        <v>243</v>
      </c>
      <c r="H11" s="14"/>
      <c r="J11" s="146"/>
    </row>
    <row r="12" spans="3:10" ht="15" customHeight="1" x14ac:dyDescent="0.2">
      <c r="E12" s="153"/>
      <c r="F12" s="153"/>
      <c r="G12" s="12" t="s">
        <v>244</v>
      </c>
      <c r="H12" s="14"/>
      <c r="J12" s="146"/>
    </row>
    <row r="13" spans="3:10" ht="15" customHeight="1" x14ac:dyDescent="0.2">
      <c r="E13" s="153"/>
      <c r="F13" s="153"/>
      <c r="G13" s="12" t="s">
        <v>245</v>
      </c>
      <c r="H13" s="14"/>
      <c r="J13" s="146"/>
    </row>
    <row r="14" spans="3:10" ht="15" customHeight="1" x14ac:dyDescent="0.2">
      <c r="E14" s="153"/>
      <c r="F14" s="153"/>
      <c r="G14" s="12" t="s">
        <v>246</v>
      </c>
      <c r="H14" s="14"/>
      <c r="J14" s="146"/>
    </row>
    <row r="15" spans="3:10" ht="15" customHeight="1" x14ac:dyDescent="0.2">
      <c r="E15" s="153"/>
      <c r="F15" s="153"/>
      <c r="G15" s="12" t="s">
        <v>247</v>
      </c>
      <c r="H15" s="14"/>
      <c r="J15" s="146"/>
    </row>
    <row r="16" spans="3:10" ht="15" customHeight="1" x14ac:dyDescent="0.2">
      <c r="E16" s="154"/>
      <c r="F16" s="154"/>
      <c r="G16" s="12" t="s">
        <v>248</v>
      </c>
      <c r="H16" s="14"/>
      <c r="J16" s="146"/>
    </row>
    <row r="17" spans="3:10" ht="15" customHeight="1" x14ac:dyDescent="0.2">
      <c r="J17" s="146"/>
    </row>
    <row r="18" spans="3:10" ht="15" customHeight="1" x14ac:dyDescent="0.2">
      <c r="C18" s="2" t="s">
        <v>567</v>
      </c>
      <c r="J18" s="146"/>
    </row>
    <row r="19" spans="3:10" ht="15" customHeight="1" x14ac:dyDescent="0.2">
      <c r="E19" s="152" t="s">
        <v>250</v>
      </c>
      <c r="F19" s="12" t="s">
        <v>251</v>
      </c>
      <c r="G19" s="12" t="s">
        <v>253</v>
      </c>
      <c r="H19" s="14"/>
      <c r="J19" s="146"/>
    </row>
    <row r="20" spans="3:10" ht="15" customHeight="1" x14ac:dyDescent="0.2">
      <c r="E20" s="153"/>
      <c r="F20" s="152" t="s">
        <v>254</v>
      </c>
      <c r="G20" s="12" t="s">
        <v>238</v>
      </c>
      <c r="H20" s="14"/>
    </row>
    <row r="21" spans="3:10" ht="15" customHeight="1" x14ac:dyDescent="0.2">
      <c r="E21" s="153"/>
      <c r="F21" s="153"/>
      <c r="G21" s="12" t="s">
        <v>239</v>
      </c>
      <c r="H21" s="14"/>
    </row>
    <row r="22" spans="3:10" ht="15" customHeight="1" x14ac:dyDescent="0.2">
      <c r="E22" s="153"/>
      <c r="F22" s="153"/>
      <c r="G22" s="12" t="s">
        <v>240</v>
      </c>
      <c r="H22" s="14"/>
    </row>
    <row r="23" spans="3:10" ht="15" customHeight="1" x14ac:dyDescent="0.2">
      <c r="E23" s="153"/>
      <c r="F23" s="153"/>
      <c r="G23" s="12" t="s">
        <v>241</v>
      </c>
      <c r="H23" s="14"/>
    </row>
    <row r="24" spans="3:10" ht="15" customHeight="1" x14ac:dyDescent="0.2">
      <c r="E24" s="153"/>
      <c r="F24" s="153"/>
      <c r="G24" s="12" t="s">
        <v>242</v>
      </c>
      <c r="H24" s="14"/>
    </row>
    <row r="25" spans="3:10" ht="15" customHeight="1" x14ac:dyDescent="0.2">
      <c r="E25" s="153"/>
      <c r="F25" s="153"/>
      <c r="G25" s="12" t="s">
        <v>243</v>
      </c>
      <c r="H25" s="14"/>
    </row>
    <row r="26" spans="3:10" ht="15" customHeight="1" x14ac:dyDescent="0.2">
      <c r="E26" s="153"/>
      <c r="F26" s="153"/>
      <c r="G26" s="12" t="s">
        <v>244</v>
      </c>
      <c r="H26" s="14"/>
    </row>
    <row r="27" spans="3:10" ht="15" customHeight="1" x14ac:dyDescent="0.2">
      <c r="E27" s="153"/>
      <c r="F27" s="153"/>
      <c r="G27" s="12" t="s">
        <v>245</v>
      </c>
      <c r="H27" s="14"/>
    </row>
    <row r="28" spans="3:10" ht="15" customHeight="1" x14ac:dyDescent="0.2">
      <c r="E28" s="153"/>
      <c r="F28" s="153"/>
      <c r="G28" s="12" t="s">
        <v>246</v>
      </c>
      <c r="H28" s="14"/>
    </row>
    <row r="29" spans="3:10" ht="15" customHeight="1" x14ac:dyDescent="0.2">
      <c r="E29" s="153"/>
      <c r="F29" s="153"/>
      <c r="G29" s="12" t="s">
        <v>365</v>
      </c>
      <c r="H29" s="14"/>
    </row>
    <row r="30" spans="3:10" ht="15" customHeight="1" x14ac:dyDescent="0.2">
      <c r="E30" s="153"/>
      <c r="F30" s="153"/>
      <c r="G30" s="12" t="s">
        <v>247</v>
      </c>
      <c r="H30" s="14"/>
    </row>
    <row r="31" spans="3:10" ht="15" customHeight="1" x14ac:dyDescent="0.2">
      <c r="E31" s="154"/>
      <c r="F31" s="154"/>
      <c r="G31" s="12" t="s">
        <v>357</v>
      </c>
      <c r="H31" s="14"/>
    </row>
  </sheetData>
  <mergeCells count="4">
    <mergeCell ref="E5:E16"/>
    <mergeCell ref="F6:F16"/>
    <mergeCell ref="E19:E31"/>
    <mergeCell ref="F20:F31"/>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9ABEA-137C-408F-9AF3-E2E3D2837C18}">
  <dimension ref="C2:H37"/>
  <sheetViews>
    <sheetView showGridLines="0" workbookViewId="0">
      <selection activeCell="K35" sqref="K35"/>
    </sheetView>
  </sheetViews>
  <sheetFormatPr defaultColWidth="8.7109375" defaultRowHeight="15" customHeight="1" x14ac:dyDescent="0.2"/>
  <cols>
    <col min="1" max="1" width="3.5703125" style="2" customWidth="1"/>
    <col min="2" max="4" width="2.28515625" style="2" customWidth="1"/>
    <col min="5" max="8" width="19.7109375" style="2" customWidth="1"/>
    <col min="9" max="12" width="16" style="2" customWidth="1"/>
    <col min="13" max="13" width="12.42578125" style="2" customWidth="1"/>
    <col min="14" max="16384" width="8.7109375" style="2"/>
  </cols>
  <sheetData>
    <row r="2" spans="3:8" ht="15" customHeight="1" x14ac:dyDescent="0.2">
      <c r="C2" s="1" t="s">
        <v>256</v>
      </c>
      <c r="D2" s="1"/>
      <c r="E2" s="1"/>
      <c r="F2" s="1"/>
      <c r="G2" s="1"/>
      <c r="H2" s="1"/>
    </row>
    <row r="4" spans="3:8" ht="15" customHeight="1" x14ac:dyDescent="0.2">
      <c r="C4" s="2" t="s">
        <v>568</v>
      </c>
    </row>
    <row r="5" spans="3:8" ht="15" customHeight="1" x14ac:dyDescent="0.2">
      <c r="E5" s="155" t="s">
        <v>257</v>
      </c>
      <c r="F5" s="155" t="s">
        <v>258</v>
      </c>
      <c r="G5" s="12" t="s">
        <v>259</v>
      </c>
      <c r="H5" s="14"/>
    </row>
    <row r="6" spans="3:8" ht="15" customHeight="1" x14ac:dyDescent="0.2">
      <c r="E6" s="155"/>
      <c r="F6" s="155"/>
      <c r="G6" s="12" t="s">
        <v>161</v>
      </c>
      <c r="H6" s="14"/>
    </row>
    <row r="7" spans="3:8" ht="15" customHeight="1" x14ac:dyDescent="0.2">
      <c r="E7" s="155"/>
      <c r="F7" s="155"/>
      <c r="G7" s="12" t="s">
        <v>162</v>
      </c>
      <c r="H7" s="14"/>
    </row>
    <row r="8" spans="3:8" ht="15" customHeight="1" x14ac:dyDescent="0.2">
      <c r="E8" s="155"/>
      <c r="F8" s="155"/>
      <c r="G8" s="12" t="s">
        <v>163</v>
      </c>
      <c r="H8" s="14"/>
    </row>
    <row r="9" spans="3:8" ht="15" customHeight="1" x14ac:dyDescent="0.2">
      <c r="E9" s="155"/>
      <c r="F9" s="155"/>
      <c r="G9" s="12" t="s">
        <v>164</v>
      </c>
      <c r="H9" s="14"/>
    </row>
    <row r="10" spans="3:8" ht="15" customHeight="1" x14ac:dyDescent="0.2">
      <c r="E10" s="155"/>
      <c r="F10" s="155"/>
      <c r="G10" s="12" t="s">
        <v>165</v>
      </c>
      <c r="H10" s="14"/>
    </row>
    <row r="11" spans="3:8" ht="15" customHeight="1" x14ac:dyDescent="0.2">
      <c r="E11" s="155"/>
      <c r="F11" s="155"/>
      <c r="G11" s="12" t="s">
        <v>166</v>
      </c>
      <c r="H11" s="14"/>
    </row>
    <row r="12" spans="3:8" ht="15" customHeight="1" x14ac:dyDescent="0.2">
      <c r="E12" s="155"/>
      <c r="F12" s="155"/>
      <c r="G12" s="12" t="s">
        <v>167</v>
      </c>
      <c r="H12" s="14"/>
    </row>
    <row r="13" spans="3:8" ht="15" customHeight="1" x14ac:dyDescent="0.2">
      <c r="E13" s="155"/>
      <c r="F13" s="155"/>
      <c r="G13" s="12" t="s">
        <v>168</v>
      </c>
      <c r="H13" s="14"/>
    </row>
    <row r="14" spans="3:8" ht="15" customHeight="1" x14ac:dyDescent="0.2">
      <c r="E14" s="155"/>
      <c r="F14" s="155" t="s">
        <v>260</v>
      </c>
      <c r="G14" s="155"/>
      <c r="H14" s="14"/>
    </row>
    <row r="16" spans="3:8" ht="15" customHeight="1" x14ac:dyDescent="0.2">
      <c r="C16" s="2" t="s">
        <v>569</v>
      </c>
    </row>
    <row r="17" spans="3:8" ht="15" customHeight="1" x14ac:dyDescent="0.2">
      <c r="E17" s="155" t="s">
        <v>257</v>
      </c>
      <c r="F17" s="155" t="s">
        <v>254</v>
      </c>
      <c r="G17" s="12" t="s">
        <v>261</v>
      </c>
      <c r="H17" s="14"/>
    </row>
    <row r="18" spans="3:8" ht="15" customHeight="1" x14ac:dyDescent="0.2">
      <c r="E18" s="155"/>
      <c r="F18" s="155"/>
      <c r="G18" s="12" t="s">
        <v>262</v>
      </c>
      <c r="H18" s="14"/>
    </row>
    <row r="19" spans="3:8" ht="15" customHeight="1" x14ac:dyDescent="0.2">
      <c r="E19" s="155"/>
      <c r="F19" s="155"/>
      <c r="G19" s="12" t="s">
        <v>169</v>
      </c>
      <c r="H19" s="14"/>
    </row>
    <row r="20" spans="3:8" ht="15" customHeight="1" x14ac:dyDescent="0.2">
      <c r="E20" s="155"/>
      <c r="F20" s="155"/>
      <c r="G20" s="12" t="s">
        <v>170</v>
      </c>
      <c r="H20" s="14"/>
    </row>
    <row r="21" spans="3:8" ht="15" customHeight="1" x14ac:dyDescent="0.2">
      <c r="E21" s="155"/>
      <c r="F21" s="155"/>
      <c r="G21" s="12" t="s">
        <v>263</v>
      </c>
      <c r="H21" s="14"/>
    </row>
    <row r="22" spans="3:8" ht="15" customHeight="1" x14ac:dyDescent="0.2">
      <c r="E22" s="155"/>
      <c r="F22" s="155"/>
      <c r="G22" s="12" t="s">
        <v>264</v>
      </c>
      <c r="H22" s="14"/>
    </row>
    <row r="23" spans="3:8" ht="15" customHeight="1" x14ac:dyDescent="0.2">
      <c r="E23" s="155"/>
      <c r="F23" s="155"/>
      <c r="G23" s="12" t="s">
        <v>265</v>
      </c>
      <c r="H23" s="14"/>
    </row>
    <row r="24" spans="3:8" ht="15" customHeight="1" x14ac:dyDescent="0.2">
      <c r="E24" s="155"/>
      <c r="F24" s="155"/>
      <c r="G24" s="12" t="s">
        <v>266</v>
      </c>
      <c r="H24" s="14"/>
    </row>
    <row r="25" spans="3:8" ht="15" customHeight="1" x14ac:dyDescent="0.2">
      <c r="E25" s="155"/>
      <c r="F25" s="155"/>
      <c r="G25" s="12" t="s">
        <v>267</v>
      </c>
      <c r="H25" s="14"/>
    </row>
    <row r="26" spans="3:8" ht="15" customHeight="1" x14ac:dyDescent="0.2">
      <c r="E26" s="155"/>
      <c r="F26" s="155"/>
      <c r="G26" s="12" t="s">
        <v>268</v>
      </c>
      <c r="H26" s="14"/>
    </row>
    <row r="28" spans="3:8" ht="15" customHeight="1" x14ac:dyDescent="0.2">
      <c r="C28" s="2" t="s">
        <v>269</v>
      </c>
    </row>
    <row r="29" spans="3:8" ht="15" customHeight="1" x14ac:dyDescent="0.2">
      <c r="E29" s="155" t="s">
        <v>257</v>
      </c>
      <c r="F29" s="155" t="s">
        <v>254</v>
      </c>
      <c r="G29" s="12" t="s">
        <v>261</v>
      </c>
      <c r="H29" s="14"/>
    </row>
    <row r="30" spans="3:8" ht="15" customHeight="1" x14ac:dyDescent="0.2">
      <c r="E30" s="155"/>
      <c r="F30" s="155"/>
      <c r="G30" s="12" t="s">
        <v>262</v>
      </c>
      <c r="H30" s="14"/>
    </row>
    <row r="31" spans="3:8" ht="15" customHeight="1" x14ac:dyDescent="0.2">
      <c r="E31" s="155"/>
      <c r="F31" s="155"/>
      <c r="G31" s="12" t="s">
        <v>169</v>
      </c>
      <c r="H31" s="14"/>
    </row>
    <row r="32" spans="3:8" ht="15" customHeight="1" x14ac:dyDescent="0.2">
      <c r="E32" s="155"/>
      <c r="F32" s="155"/>
      <c r="G32" s="12" t="s">
        <v>170</v>
      </c>
      <c r="H32" s="14"/>
    </row>
    <row r="33" spans="5:8" ht="15" customHeight="1" x14ac:dyDescent="0.2">
      <c r="E33" s="155"/>
      <c r="F33" s="155"/>
      <c r="G33" s="12" t="s">
        <v>263</v>
      </c>
      <c r="H33" s="14"/>
    </row>
    <row r="34" spans="5:8" ht="15" customHeight="1" x14ac:dyDescent="0.2">
      <c r="E34" s="155"/>
      <c r="F34" s="155"/>
      <c r="G34" s="12" t="s">
        <v>264</v>
      </c>
      <c r="H34" s="14"/>
    </row>
    <row r="35" spans="5:8" ht="15" customHeight="1" x14ac:dyDescent="0.2">
      <c r="E35" s="155"/>
      <c r="F35" s="155"/>
      <c r="G35" s="12" t="s">
        <v>265</v>
      </c>
      <c r="H35" s="14"/>
    </row>
    <row r="36" spans="5:8" ht="15" customHeight="1" x14ac:dyDescent="0.2">
      <c r="E36" s="155"/>
      <c r="F36" s="155"/>
      <c r="G36" s="12" t="s">
        <v>266</v>
      </c>
      <c r="H36" s="14"/>
    </row>
    <row r="37" spans="5:8" ht="15" customHeight="1" x14ac:dyDescent="0.2">
      <c r="E37" s="155"/>
      <c r="F37" s="155"/>
      <c r="G37" s="12" t="s">
        <v>267</v>
      </c>
      <c r="H37" s="14"/>
    </row>
  </sheetData>
  <mergeCells count="7">
    <mergeCell ref="E29:E37"/>
    <mergeCell ref="F29:F37"/>
    <mergeCell ref="E5:E14"/>
    <mergeCell ref="E17:E26"/>
    <mergeCell ref="F14:G14"/>
    <mergeCell ref="F5:F13"/>
    <mergeCell ref="F17:F26"/>
  </mergeCells>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E1A0A-BCF3-443B-B1AF-1B360821C2A2}">
  <dimension ref="C2:J38"/>
  <sheetViews>
    <sheetView showGridLines="0" workbookViewId="0">
      <selection activeCell="C5" sqref="C5"/>
    </sheetView>
  </sheetViews>
  <sheetFormatPr defaultColWidth="8.7109375" defaultRowHeight="15" customHeight="1" x14ac:dyDescent="0.2"/>
  <cols>
    <col min="1" max="1" width="3.5703125" style="2" customWidth="1"/>
    <col min="2" max="4" width="2.28515625" style="2" customWidth="1"/>
    <col min="5" max="8" width="19.7109375" style="2" customWidth="1"/>
    <col min="9" max="12" width="16" style="2" customWidth="1"/>
    <col min="13" max="13" width="12.42578125" style="2" customWidth="1"/>
    <col min="14" max="16384" width="8.7109375" style="2"/>
  </cols>
  <sheetData>
    <row r="2" spans="3:10" ht="15" customHeight="1" x14ac:dyDescent="0.2">
      <c r="C2" s="1" t="s">
        <v>271</v>
      </c>
      <c r="D2" s="1"/>
      <c r="E2" s="1"/>
      <c r="F2" s="1"/>
      <c r="G2" s="1"/>
      <c r="H2" s="1"/>
    </row>
    <row r="4" spans="3:10" ht="15" customHeight="1" x14ac:dyDescent="0.2">
      <c r="C4" s="2" t="s">
        <v>272</v>
      </c>
    </row>
    <row r="5" spans="3:10" ht="15" customHeight="1" x14ac:dyDescent="0.2">
      <c r="E5" s="152" t="s">
        <v>258</v>
      </c>
      <c r="F5" s="152" t="s">
        <v>291</v>
      </c>
      <c r="G5" s="12" t="s">
        <v>273</v>
      </c>
      <c r="H5" s="14"/>
      <c r="J5" s="65"/>
    </row>
    <row r="6" spans="3:10" ht="15" customHeight="1" x14ac:dyDescent="0.2">
      <c r="E6" s="153"/>
      <c r="F6" s="153"/>
      <c r="G6" s="12" t="s">
        <v>274</v>
      </c>
      <c r="H6" s="14"/>
    </row>
    <row r="7" spans="3:10" ht="15" customHeight="1" x14ac:dyDescent="0.2">
      <c r="E7" s="153"/>
      <c r="F7" s="154"/>
      <c r="G7" s="12" t="s">
        <v>275</v>
      </c>
      <c r="H7" s="14"/>
    </row>
    <row r="8" spans="3:10" ht="15" customHeight="1" x14ac:dyDescent="0.2">
      <c r="E8" s="153"/>
      <c r="F8" s="152" t="s">
        <v>292</v>
      </c>
      <c r="G8" s="12" t="s">
        <v>276</v>
      </c>
      <c r="H8" s="14"/>
      <c r="J8" s="65"/>
    </row>
    <row r="9" spans="3:10" ht="15" customHeight="1" x14ac:dyDescent="0.2">
      <c r="E9" s="153"/>
      <c r="F9" s="153"/>
      <c r="G9" s="12" t="s">
        <v>277</v>
      </c>
      <c r="H9" s="14"/>
    </row>
    <row r="10" spans="3:10" ht="15" customHeight="1" x14ac:dyDescent="0.2">
      <c r="E10" s="153"/>
      <c r="F10" s="153"/>
      <c r="G10" s="12" t="s">
        <v>278</v>
      </c>
      <c r="H10" s="14"/>
    </row>
    <row r="11" spans="3:10" ht="15" customHeight="1" x14ac:dyDescent="0.2">
      <c r="E11" s="153"/>
      <c r="F11" s="153"/>
      <c r="G11" s="12" t="s">
        <v>279</v>
      </c>
      <c r="H11" s="14"/>
    </row>
    <row r="12" spans="3:10" ht="15" customHeight="1" x14ac:dyDescent="0.2">
      <c r="E12" s="153"/>
      <c r="F12" s="154"/>
      <c r="G12" s="12" t="s">
        <v>280</v>
      </c>
      <c r="H12" s="14"/>
    </row>
    <row r="13" spans="3:10" ht="15" customHeight="1" x14ac:dyDescent="0.2">
      <c r="E13" s="153"/>
      <c r="F13" s="152" t="s">
        <v>293</v>
      </c>
      <c r="G13" s="12" t="s">
        <v>281</v>
      </c>
      <c r="H13" s="14"/>
      <c r="J13" s="65"/>
    </row>
    <row r="14" spans="3:10" ht="15" customHeight="1" x14ac:dyDescent="0.2">
      <c r="E14" s="153"/>
      <c r="F14" s="153"/>
      <c r="G14" s="12" t="s">
        <v>282</v>
      </c>
      <c r="H14" s="14"/>
    </row>
    <row r="15" spans="3:10" ht="15" customHeight="1" x14ac:dyDescent="0.2">
      <c r="E15" s="153"/>
      <c r="F15" s="154"/>
      <c r="G15" s="12" t="s">
        <v>283</v>
      </c>
      <c r="H15" s="14"/>
    </row>
    <row r="16" spans="3:10" ht="15" customHeight="1" x14ac:dyDescent="0.2">
      <c r="E16" s="153"/>
      <c r="F16" s="152" t="s">
        <v>294</v>
      </c>
      <c r="G16" s="12" t="s">
        <v>284</v>
      </c>
      <c r="H16" s="14"/>
    </row>
    <row r="17" spans="5:8" ht="15" customHeight="1" x14ac:dyDescent="0.2">
      <c r="E17" s="153"/>
      <c r="F17" s="153"/>
      <c r="G17" s="12" t="s">
        <v>285</v>
      </c>
      <c r="H17" s="14"/>
    </row>
    <row r="18" spans="5:8" ht="15" customHeight="1" x14ac:dyDescent="0.2">
      <c r="E18" s="153"/>
      <c r="F18" s="153"/>
      <c r="G18" s="12" t="s">
        <v>286</v>
      </c>
      <c r="H18" s="14"/>
    </row>
    <row r="19" spans="5:8" ht="15" customHeight="1" x14ac:dyDescent="0.2">
      <c r="E19" s="153"/>
      <c r="F19" s="154"/>
      <c r="G19" s="12" t="s">
        <v>287</v>
      </c>
      <c r="H19" s="14"/>
    </row>
    <row r="20" spans="5:8" ht="15" customHeight="1" x14ac:dyDescent="0.2">
      <c r="E20" s="153"/>
      <c r="F20" s="152" t="s">
        <v>288</v>
      </c>
      <c r="G20" s="12" t="s">
        <v>289</v>
      </c>
      <c r="H20" s="14"/>
    </row>
    <row r="21" spans="5:8" ht="15" customHeight="1" x14ac:dyDescent="0.2">
      <c r="E21" s="154"/>
      <c r="F21" s="154"/>
      <c r="G21" s="12" t="s">
        <v>290</v>
      </c>
      <c r="H21" s="14"/>
    </row>
    <row r="22" spans="5:8" ht="15" customHeight="1" x14ac:dyDescent="0.2">
      <c r="E22" s="152" t="s">
        <v>337</v>
      </c>
      <c r="F22" s="156" t="s">
        <v>312</v>
      </c>
      <c r="G22" s="12" t="s">
        <v>296</v>
      </c>
      <c r="H22" s="14"/>
    </row>
    <row r="23" spans="5:8" ht="15" customHeight="1" x14ac:dyDescent="0.2">
      <c r="E23" s="153"/>
      <c r="F23" s="157"/>
      <c r="G23" s="12" t="s">
        <v>297</v>
      </c>
      <c r="H23" s="14"/>
    </row>
    <row r="24" spans="5:8" ht="15" customHeight="1" x14ac:dyDescent="0.2">
      <c r="E24" s="153"/>
      <c r="F24" s="158"/>
      <c r="G24" s="12" t="s">
        <v>298</v>
      </c>
      <c r="H24" s="14"/>
    </row>
    <row r="25" spans="5:8" ht="15" customHeight="1" x14ac:dyDescent="0.2">
      <c r="E25" s="153"/>
      <c r="F25" s="156" t="s">
        <v>313</v>
      </c>
      <c r="G25" s="12" t="s">
        <v>299</v>
      </c>
      <c r="H25" s="14"/>
    </row>
    <row r="26" spans="5:8" ht="15" customHeight="1" x14ac:dyDescent="0.2">
      <c r="E26" s="153"/>
      <c r="F26" s="157"/>
      <c r="G26" s="12" t="s">
        <v>300</v>
      </c>
      <c r="H26" s="14"/>
    </row>
    <row r="27" spans="5:8" ht="15" customHeight="1" x14ac:dyDescent="0.2">
      <c r="E27" s="153"/>
      <c r="F27" s="157"/>
      <c r="G27" s="12" t="s">
        <v>301</v>
      </c>
      <c r="H27" s="14"/>
    </row>
    <row r="28" spans="5:8" ht="15" customHeight="1" x14ac:dyDescent="0.2">
      <c r="E28" s="153"/>
      <c r="F28" s="157"/>
      <c r="G28" s="12" t="s">
        <v>302</v>
      </c>
      <c r="H28" s="14"/>
    </row>
    <row r="29" spans="5:8" ht="15" customHeight="1" x14ac:dyDescent="0.2">
      <c r="E29" s="153"/>
      <c r="F29" s="158"/>
      <c r="G29" s="12" t="s">
        <v>303</v>
      </c>
      <c r="H29" s="14"/>
    </row>
    <row r="30" spans="5:8" ht="15" customHeight="1" x14ac:dyDescent="0.2">
      <c r="E30" s="153"/>
      <c r="F30" s="156" t="s">
        <v>314</v>
      </c>
      <c r="G30" s="12" t="s">
        <v>304</v>
      </c>
      <c r="H30" s="14"/>
    </row>
    <row r="31" spans="5:8" ht="15" customHeight="1" x14ac:dyDescent="0.2">
      <c r="E31" s="153"/>
      <c r="F31" s="157"/>
      <c r="G31" s="12" t="s">
        <v>239</v>
      </c>
      <c r="H31" s="14"/>
    </row>
    <row r="32" spans="5:8" ht="15" customHeight="1" x14ac:dyDescent="0.2">
      <c r="E32" s="153"/>
      <c r="F32" s="158"/>
      <c r="G32" s="12" t="s">
        <v>305</v>
      </c>
      <c r="H32" s="14"/>
    </row>
    <row r="33" spans="5:8" ht="15" customHeight="1" x14ac:dyDescent="0.2">
      <c r="E33" s="153"/>
      <c r="F33" s="152" t="s">
        <v>315</v>
      </c>
      <c r="G33" s="12" t="s">
        <v>306</v>
      </c>
      <c r="H33" s="14"/>
    </row>
    <row r="34" spans="5:8" ht="15" customHeight="1" x14ac:dyDescent="0.2">
      <c r="E34" s="153"/>
      <c r="F34" s="153"/>
      <c r="G34" s="12" t="s">
        <v>307</v>
      </c>
      <c r="H34" s="14"/>
    </row>
    <row r="35" spans="5:8" ht="15" customHeight="1" x14ac:dyDescent="0.2">
      <c r="E35" s="153"/>
      <c r="F35" s="153"/>
      <c r="G35" s="12" t="s">
        <v>308</v>
      </c>
      <c r="H35" s="14"/>
    </row>
    <row r="36" spans="5:8" ht="15" customHeight="1" x14ac:dyDescent="0.2">
      <c r="E36" s="153"/>
      <c r="F36" s="153"/>
      <c r="G36" s="12" t="s">
        <v>309</v>
      </c>
      <c r="H36" s="14"/>
    </row>
    <row r="37" spans="5:8" ht="15" customHeight="1" x14ac:dyDescent="0.2">
      <c r="E37" s="153"/>
      <c r="F37" s="154"/>
      <c r="G37" s="12" t="s">
        <v>310</v>
      </c>
      <c r="H37" s="14"/>
    </row>
    <row r="38" spans="5:8" ht="15" customHeight="1" x14ac:dyDescent="0.2">
      <c r="E38" s="154"/>
      <c r="F38" s="12" t="s">
        <v>295</v>
      </c>
      <c r="G38" s="12" t="s">
        <v>311</v>
      </c>
      <c r="H38" s="14"/>
    </row>
  </sheetData>
  <mergeCells count="11">
    <mergeCell ref="E5:E21"/>
    <mergeCell ref="F5:F7"/>
    <mergeCell ref="F8:F12"/>
    <mergeCell ref="F13:F15"/>
    <mergeCell ref="F16:F19"/>
    <mergeCell ref="F20:F21"/>
    <mergeCell ref="F22:F24"/>
    <mergeCell ref="F25:F29"/>
    <mergeCell ref="F30:F32"/>
    <mergeCell ref="F33:F37"/>
    <mergeCell ref="E22:E38"/>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91259-652D-48E7-98EC-AA654C4FC925}">
  <dimension ref="C2:H37"/>
  <sheetViews>
    <sheetView showGridLines="0" workbookViewId="0">
      <selection activeCell="A3" sqref="A3"/>
    </sheetView>
  </sheetViews>
  <sheetFormatPr defaultColWidth="8.7109375" defaultRowHeight="15" customHeight="1" x14ac:dyDescent="0.2"/>
  <cols>
    <col min="1" max="1" width="3.5703125" style="2" customWidth="1"/>
    <col min="2" max="4" width="2.28515625" style="2" customWidth="1"/>
    <col min="5" max="8" width="19.7109375" style="2" customWidth="1"/>
    <col min="9" max="12" width="16" style="2" customWidth="1"/>
    <col min="13" max="13" width="12.42578125" style="2" customWidth="1"/>
    <col min="14" max="16384" width="8.7109375" style="2"/>
  </cols>
  <sheetData>
    <row r="2" spans="3:8" ht="15" customHeight="1" x14ac:dyDescent="0.2">
      <c r="C2" s="1" t="s">
        <v>317</v>
      </c>
      <c r="D2" s="1"/>
      <c r="E2" s="1"/>
      <c r="F2" s="1"/>
      <c r="G2" s="1"/>
      <c r="H2" s="1"/>
    </row>
    <row r="4" spans="3:8" ht="15" customHeight="1" x14ac:dyDescent="0.2">
      <c r="C4" s="2" t="s">
        <v>318</v>
      </c>
    </row>
    <row r="5" spans="3:8" ht="15" customHeight="1" x14ac:dyDescent="0.2">
      <c r="E5" s="152" t="s">
        <v>258</v>
      </c>
      <c r="F5" s="152" t="s">
        <v>291</v>
      </c>
      <c r="G5" s="12" t="s">
        <v>319</v>
      </c>
      <c r="H5" s="14"/>
    </row>
    <row r="6" spans="3:8" ht="15" customHeight="1" x14ac:dyDescent="0.2">
      <c r="E6" s="153"/>
      <c r="F6" s="153"/>
      <c r="G6" s="12" t="s">
        <v>320</v>
      </c>
      <c r="H6" s="14"/>
    </row>
    <row r="7" spans="3:8" ht="15" customHeight="1" x14ac:dyDescent="0.2">
      <c r="E7" s="153"/>
      <c r="F7" s="154"/>
      <c r="G7" s="12" t="s">
        <v>321</v>
      </c>
      <c r="H7" s="14"/>
    </row>
    <row r="8" spans="3:8" ht="15" customHeight="1" x14ac:dyDescent="0.2">
      <c r="E8" s="153"/>
      <c r="F8" s="152" t="s">
        <v>292</v>
      </c>
      <c r="G8" s="12" t="s">
        <v>322</v>
      </c>
      <c r="H8" s="14"/>
    </row>
    <row r="9" spans="3:8" ht="15" customHeight="1" x14ac:dyDescent="0.2">
      <c r="E9" s="153"/>
      <c r="F9" s="153"/>
      <c r="G9" s="12" t="s">
        <v>323</v>
      </c>
      <c r="H9" s="14"/>
    </row>
    <row r="10" spans="3:8" ht="15" customHeight="1" x14ac:dyDescent="0.2">
      <c r="E10" s="153"/>
      <c r="F10" s="153"/>
      <c r="G10" s="12" t="s">
        <v>324</v>
      </c>
      <c r="H10" s="14"/>
    </row>
    <row r="11" spans="3:8" ht="15" customHeight="1" x14ac:dyDescent="0.2">
      <c r="E11" s="153"/>
      <c r="F11" s="153"/>
      <c r="G11" s="12" t="s">
        <v>325</v>
      </c>
      <c r="H11" s="14"/>
    </row>
    <row r="12" spans="3:8" ht="15" customHeight="1" x14ac:dyDescent="0.2">
      <c r="E12" s="153"/>
      <c r="F12" s="154"/>
      <c r="G12" s="12" t="s">
        <v>326</v>
      </c>
      <c r="H12" s="14"/>
    </row>
    <row r="13" spans="3:8" ht="15" customHeight="1" x14ac:dyDescent="0.2">
      <c r="E13" s="153"/>
      <c r="F13" s="152" t="s">
        <v>293</v>
      </c>
      <c r="G13" s="12" t="s">
        <v>327</v>
      </c>
      <c r="H13" s="14"/>
    </row>
    <row r="14" spans="3:8" ht="15" customHeight="1" x14ac:dyDescent="0.2">
      <c r="E14" s="153"/>
      <c r="F14" s="153"/>
      <c r="G14" s="12" t="s">
        <v>328</v>
      </c>
      <c r="H14" s="14"/>
    </row>
    <row r="15" spans="3:8" ht="15" customHeight="1" x14ac:dyDescent="0.2">
      <c r="E15" s="153"/>
      <c r="F15" s="154"/>
      <c r="G15" s="12" t="s">
        <v>329</v>
      </c>
      <c r="H15" s="14"/>
    </row>
    <row r="16" spans="3:8" ht="15" customHeight="1" x14ac:dyDescent="0.2">
      <c r="E16" s="153"/>
      <c r="F16" s="152" t="s">
        <v>294</v>
      </c>
      <c r="G16" s="12" t="s">
        <v>330</v>
      </c>
      <c r="H16" s="14"/>
    </row>
    <row r="17" spans="5:8" ht="15" customHeight="1" x14ac:dyDescent="0.2">
      <c r="E17" s="153"/>
      <c r="F17" s="153"/>
      <c r="G17" s="12" t="s">
        <v>331</v>
      </c>
      <c r="H17" s="14"/>
    </row>
    <row r="18" spans="5:8" ht="15" customHeight="1" x14ac:dyDescent="0.2">
      <c r="E18" s="153"/>
      <c r="F18" s="153"/>
      <c r="G18" s="12" t="s">
        <v>332</v>
      </c>
      <c r="H18" s="14"/>
    </row>
    <row r="19" spans="5:8" ht="15" customHeight="1" x14ac:dyDescent="0.2">
      <c r="E19" s="153"/>
      <c r="F19" s="154"/>
      <c r="G19" s="12" t="s">
        <v>333</v>
      </c>
      <c r="H19" s="14"/>
    </row>
    <row r="20" spans="5:8" ht="15" customHeight="1" x14ac:dyDescent="0.2">
      <c r="E20" s="153"/>
      <c r="F20" s="23" t="s">
        <v>336</v>
      </c>
      <c r="G20" s="12" t="s">
        <v>335</v>
      </c>
      <c r="H20" s="14"/>
    </row>
    <row r="21" spans="5:8" ht="15" customHeight="1" x14ac:dyDescent="0.2">
      <c r="E21" s="152" t="s">
        <v>337</v>
      </c>
      <c r="F21" s="156" t="s">
        <v>312</v>
      </c>
      <c r="G21" s="12" t="s">
        <v>296</v>
      </c>
      <c r="H21" s="14"/>
    </row>
    <row r="22" spans="5:8" ht="15" customHeight="1" x14ac:dyDescent="0.2">
      <c r="E22" s="153"/>
      <c r="F22" s="157"/>
      <c r="G22" s="12" t="s">
        <v>297</v>
      </c>
      <c r="H22" s="14"/>
    </row>
    <row r="23" spans="5:8" ht="15" customHeight="1" x14ac:dyDescent="0.2">
      <c r="E23" s="153"/>
      <c r="F23" s="158"/>
      <c r="G23" s="12" t="s">
        <v>298</v>
      </c>
      <c r="H23" s="14"/>
    </row>
    <row r="24" spans="5:8" ht="15" customHeight="1" x14ac:dyDescent="0.2">
      <c r="E24" s="153"/>
      <c r="F24" s="156" t="s">
        <v>313</v>
      </c>
      <c r="G24" s="12" t="s">
        <v>299</v>
      </c>
      <c r="H24" s="14"/>
    </row>
    <row r="25" spans="5:8" ht="15" customHeight="1" x14ac:dyDescent="0.2">
      <c r="E25" s="153"/>
      <c r="F25" s="157"/>
      <c r="G25" s="12" t="s">
        <v>300</v>
      </c>
      <c r="H25" s="14"/>
    </row>
    <row r="26" spans="5:8" ht="15" customHeight="1" x14ac:dyDescent="0.2">
      <c r="E26" s="153"/>
      <c r="F26" s="157"/>
      <c r="G26" s="12" t="s">
        <v>301</v>
      </c>
      <c r="H26" s="14"/>
    </row>
    <row r="27" spans="5:8" ht="15" customHeight="1" x14ac:dyDescent="0.2">
      <c r="E27" s="153"/>
      <c r="F27" s="157"/>
      <c r="G27" s="12" t="s">
        <v>302</v>
      </c>
      <c r="H27" s="14"/>
    </row>
    <row r="28" spans="5:8" ht="15" customHeight="1" x14ac:dyDescent="0.2">
      <c r="E28" s="153"/>
      <c r="F28" s="158"/>
      <c r="G28" s="12" t="s">
        <v>303</v>
      </c>
      <c r="H28" s="14"/>
    </row>
    <row r="29" spans="5:8" ht="15" customHeight="1" x14ac:dyDescent="0.2">
      <c r="E29" s="153"/>
      <c r="F29" s="156" t="s">
        <v>314</v>
      </c>
      <c r="G29" s="12" t="s">
        <v>304</v>
      </c>
      <c r="H29" s="14"/>
    </row>
    <row r="30" spans="5:8" ht="15" customHeight="1" x14ac:dyDescent="0.2">
      <c r="E30" s="153"/>
      <c r="F30" s="157"/>
      <c r="G30" s="12" t="s">
        <v>239</v>
      </c>
      <c r="H30" s="14"/>
    </row>
    <row r="31" spans="5:8" ht="15" customHeight="1" x14ac:dyDescent="0.2">
      <c r="E31" s="153"/>
      <c r="F31" s="158"/>
      <c r="G31" s="12" t="s">
        <v>305</v>
      </c>
      <c r="H31" s="14"/>
    </row>
    <row r="32" spans="5:8" ht="15" customHeight="1" x14ac:dyDescent="0.2">
      <c r="E32" s="153"/>
      <c r="F32" s="152" t="s">
        <v>315</v>
      </c>
      <c r="G32" s="12" t="s">
        <v>306</v>
      </c>
      <c r="H32" s="14"/>
    </row>
    <row r="33" spans="5:8" ht="15" customHeight="1" x14ac:dyDescent="0.2">
      <c r="E33" s="153"/>
      <c r="F33" s="153"/>
      <c r="G33" s="12" t="s">
        <v>307</v>
      </c>
      <c r="H33" s="14"/>
    </row>
    <row r="34" spans="5:8" ht="15" customHeight="1" x14ac:dyDescent="0.2">
      <c r="E34" s="153"/>
      <c r="F34" s="153"/>
      <c r="G34" s="12" t="s">
        <v>308</v>
      </c>
      <c r="H34" s="14"/>
    </row>
    <row r="35" spans="5:8" ht="15" customHeight="1" x14ac:dyDescent="0.2">
      <c r="E35" s="153"/>
      <c r="F35" s="153"/>
      <c r="G35" s="12" t="s">
        <v>309</v>
      </c>
      <c r="H35" s="14"/>
    </row>
    <row r="36" spans="5:8" ht="15" customHeight="1" x14ac:dyDescent="0.2">
      <c r="E36" s="153"/>
      <c r="F36" s="154"/>
      <c r="G36" s="12" t="s">
        <v>310</v>
      </c>
      <c r="H36" s="14"/>
    </row>
    <row r="37" spans="5:8" ht="15" customHeight="1" x14ac:dyDescent="0.2">
      <c r="E37" s="154"/>
      <c r="F37" s="12" t="s">
        <v>334</v>
      </c>
      <c r="G37" s="12" t="s">
        <v>335</v>
      </c>
      <c r="H37" s="14"/>
    </row>
  </sheetData>
  <mergeCells count="10">
    <mergeCell ref="E5:E20"/>
    <mergeCell ref="F5:F7"/>
    <mergeCell ref="F8:F12"/>
    <mergeCell ref="F13:F15"/>
    <mergeCell ref="F16:F19"/>
    <mergeCell ref="E21:E37"/>
    <mergeCell ref="F21:F23"/>
    <mergeCell ref="F24:F28"/>
    <mergeCell ref="F29:F31"/>
    <mergeCell ref="F32:F36"/>
  </mergeCells>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C15C6-586F-446A-9273-86F015E5D1B1}">
  <dimension ref="C2:H15"/>
  <sheetViews>
    <sheetView showGridLines="0" workbookViewId="0">
      <selection activeCell="C5" sqref="C5"/>
    </sheetView>
  </sheetViews>
  <sheetFormatPr defaultColWidth="8.7109375" defaultRowHeight="15" customHeight="1" x14ac:dyDescent="0.2"/>
  <cols>
    <col min="1" max="1" width="3.5703125" style="2" customWidth="1"/>
    <col min="2" max="4" width="2.28515625" style="2" customWidth="1"/>
    <col min="5" max="8" width="19.7109375" style="2" customWidth="1"/>
    <col min="9" max="12" width="16" style="2" customWidth="1"/>
    <col min="13" max="13" width="12.42578125" style="2" customWidth="1"/>
    <col min="14" max="16384" width="8.7109375" style="2"/>
  </cols>
  <sheetData>
    <row r="2" spans="3:8" ht="15" customHeight="1" x14ac:dyDescent="0.2">
      <c r="C2" s="1" t="s">
        <v>339</v>
      </c>
      <c r="D2" s="1"/>
      <c r="E2" s="1"/>
      <c r="F2" s="1"/>
      <c r="G2" s="1"/>
      <c r="H2" s="1"/>
    </row>
    <row r="4" spans="3:8" ht="15" customHeight="1" x14ac:dyDescent="0.2">
      <c r="C4" s="2" t="s">
        <v>570</v>
      </c>
    </row>
    <row r="5" spans="3:8" ht="15" customHeight="1" x14ac:dyDescent="0.2">
      <c r="E5" s="152" t="s">
        <v>340</v>
      </c>
      <c r="F5" s="152" t="s">
        <v>341</v>
      </c>
      <c r="G5" s="12" t="s">
        <v>350</v>
      </c>
      <c r="H5" s="14"/>
    </row>
    <row r="6" spans="3:8" ht="15" customHeight="1" x14ac:dyDescent="0.2">
      <c r="E6" s="153"/>
      <c r="F6" s="153"/>
      <c r="G6" s="12" t="s">
        <v>252</v>
      </c>
      <c r="H6" s="14"/>
    </row>
    <row r="7" spans="3:8" ht="15" customHeight="1" x14ac:dyDescent="0.2">
      <c r="E7" s="153"/>
      <c r="F7" s="153"/>
      <c r="G7" s="12" t="s">
        <v>351</v>
      </c>
      <c r="H7" s="14"/>
    </row>
    <row r="8" spans="3:8" ht="15" customHeight="1" x14ac:dyDescent="0.2">
      <c r="E8" s="153"/>
      <c r="F8" s="153"/>
      <c r="G8" s="12" t="s">
        <v>346</v>
      </c>
      <c r="H8" s="14"/>
    </row>
    <row r="9" spans="3:8" ht="15" customHeight="1" x14ac:dyDescent="0.2">
      <c r="E9" s="153"/>
      <c r="F9" s="153"/>
      <c r="G9" s="12" t="s">
        <v>347</v>
      </c>
      <c r="H9" s="14"/>
    </row>
    <row r="10" spans="3:8" ht="15" customHeight="1" x14ac:dyDescent="0.2">
      <c r="E10" s="153"/>
      <c r="F10" s="153"/>
      <c r="G10" s="12" t="s">
        <v>349</v>
      </c>
      <c r="H10" s="14"/>
    </row>
    <row r="11" spans="3:8" ht="15" customHeight="1" x14ac:dyDescent="0.2">
      <c r="E11" s="153"/>
      <c r="F11" s="153"/>
      <c r="G11" s="12" t="s">
        <v>348</v>
      </c>
      <c r="H11" s="14"/>
    </row>
    <row r="12" spans="3:8" ht="15" customHeight="1" x14ac:dyDescent="0.2">
      <c r="E12" s="153"/>
      <c r="F12" s="153"/>
      <c r="G12" s="12" t="s">
        <v>343</v>
      </c>
      <c r="H12" s="14"/>
    </row>
    <row r="13" spans="3:8" ht="15" customHeight="1" x14ac:dyDescent="0.2">
      <c r="E13" s="153"/>
      <c r="F13" s="153"/>
      <c r="G13" s="12" t="s">
        <v>342</v>
      </c>
      <c r="H13" s="14"/>
    </row>
    <row r="14" spans="3:8" ht="15" customHeight="1" x14ac:dyDescent="0.2">
      <c r="E14" s="153"/>
      <c r="F14" s="153"/>
      <c r="G14" s="12" t="s">
        <v>345</v>
      </c>
      <c r="H14" s="14"/>
    </row>
    <row r="15" spans="3:8" ht="15" customHeight="1" x14ac:dyDescent="0.2">
      <c r="E15" s="154"/>
      <c r="F15" s="154"/>
      <c r="G15" s="12" t="s">
        <v>344</v>
      </c>
      <c r="H15" s="14"/>
    </row>
  </sheetData>
  <mergeCells count="2">
    <mergeCell ref="F5:F15"/>
    <mergeCell ref="E5:E15"/>
  </mergeCells>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11125-A0A7-4C75-BB54-605DFBBE34E1}">
  <dimension ref="C2:K85"/>
  <sheetViews>
    <sheetView showGridLines="0" workbookViewId="0"/>
  </sheetViews>
  <sheetFormatPr defaultColWidth="8.7109375" defaultRowHeight="15" customHeight="1" x14ac:dyDescent="0.2"/>
  <cols>
    <col min="1" max="1" width="3.5703125" style="2" customWidth="1"/>
    <col min="2" max="3" width="2.28515625" style="2" customWidth="1"/>
    <col min="4" max="12" width="16" style="2" customWidth="1"/>
    <col min="13" max="16384" width="8.7109375" style="2"/>
  </cols>
  <sheetData>
    <row r="2" spans="3:5" ht="15" customHeight="1" x14ac:dyDescent="0.2">
      <c r="C2" s="1" t="s">
        <v>27</v>
      </c>
      <c r="D2" s="1"/>
      <c r="E2" s="1"/>
    </row>
    <row r="4" spans="3:5" ht="15" customHeight="1" x14ac:dyDescent="0.2">
      <c r="C4" s="2" t="s">
        <v>22</v>
      </c>
    </row>
    <row r="5" spans="3:5" ht="15" customHeight="1" x14ac:dyDescent="0.2">
      <c r="D5" s="12" t="s">
        <v>4</v>
      </c>
      <c r="E5" s="13"/>
    </row>
    <row r="7" spans="3:5" ht="15" customHeight="1" x14ac:dyDescent="0.2">
      <c r="C7" s="2" t="s">
        <v>23</v>
      </c>
    </row>
    <row r="8" spans="3:5" ht="15" customHeight="1" x14ac:dyDescent="0.2">
      <c r="D8" s="2" t="s">
        <v>103</v>
      </c>
    </row>
    <row r="9" spans="3:5" ht="15" customHeight="1" x14ac:dyDescent="0.2">
      <c r="D9" s="12" t="s">
        <v>20</v>
      </c>
      <c r="E9" s="14"/>
    </row>
    <row r="11" spans="3:5" ht="15" customHeight="1" x14ac:dyDescent="0.2">
      <c r="C11" s="2" t="s">
        <v>100</v>
      </c>
    </row>
    <row r="12" spans="3:5" ht="15" customHeight="1" x14ac:dyDescent="0.2">
      <c r="D12" s="2" t="s">
        <v>101</v>
      </c>
    </row>
    <row r="13" spans="3:5" ht="15" customHeight="1" x14ac:dyDescent="0.2">
      <c r="D13" s="12" t="s">
        <v>99</v>
      </c>
      <c r="E13" s="15"/>
    </row>
    <row r="15" spans="3:5" ht="15" customHeight="1" x14ac:dyDescent="0.2">
      <c r="C15" s="2" t="s">
        <v>107</v>
      </c>
    </row>
    <row r="16" spans="3:5" ht="15" customHeight="1" x14ac:dyDescent="0.2">
      <c r="D16" s="2" t="s">
        <v>106</v>
      </c>
    </row>
    <row r="17" spans="3:11" ht="15" customHeight="1" x14ac:dyDescent="0.2">
      <c r="D17" s="152" t="s">
        <v>5</v>
      </c>
      <c r="E17" s="152" t="s">
        <v>7</v>
      </c>
      <c r="F17" s="12" t="s">
        <v>9</v>
      </c>
      <c r="G17" s="15"/>
      <c r="H17" s="16" t="s">
        <v>102</v>
      </c>
      <c r="I17" s="18">
        <f>IF($E$13="",G17,(1-$E$13)*G17/SUM($G$17:$G$20))</f>
        <v>0</v>
      </c>
      <c r="J17" s="16" t="s">
        <v>21</v>
      </c>
      <c r="K17" s="19">
        <f>$E$9*I17</f>
        <v>0</v>
      </c>
    </row>
    <row r="18" spans="3:11" ht="15" customHeight="1" x14ac:dyDescent="0.2">
      <c r="D18" s="153"/>
      <c r="E18" s="154"/>
      <c r="F18" s="12" t="s">
        <v>10</v>
      </c>
      <c r="G18" s="15"/>
      <c r="I18" s="18">
        <f>IF($E$13="",G18,(1-$E$13)*G18/SUM($G$17:$G$20))</f>
        <v>0</v>
      </c>
      <c r="K18" s="19">
        <f t="shared" ref="K18:K21" si="0">$E$9*I18</f>
        <v>0</v>
      </c>
    </row>
    <row r="19" spans="3:11" ht="15" customHeight="1" x14ac:dyDescent="0.2">
      <c r="D19" s="153"/>
      <c r="E19" s="152" t="s">
        <v>8</v>
      </c>
      <c r="F19" s="12" t="s">
        <v>9</v>
      </c>
      <c r="G19" s="15"/>
      <c r="I19" s="18">
        <f>IF($E$13="",G19,(1-$E$13)*G19/SUM($G$17:$G$20))</f>
        <v>0</v>
      </c>
      <c r="K19" s="19">
        <f t="shared" si="0"/>
        <v>0</v>
      </c>
    </row>
    <row r="20" spans="3:11" ht="15" customHeight="1" x14ac:dyDescent="0.2">
      <c r="D20" s="154"/>
      <c r="E20" s="154"/>
      <c r="F20" s="12" t="s">
        <v>10</v>
      </c>
      <c r="G20" s="15"/>
      <c r="I20" s="18">
        <f>IF($E$13="",G20,(1-$E$13)*G20/SUM($G$17:$G$20))</f>
        <v>0</v>
      </c>
      <c r="K20" s="19">
        <f t="shared" si="0"/>
        <v>0</v>
      </c>
    </row>
    <row r="21" spans="3:11" ht="15" customHeight="1" x14ac:dyDescent="0.2">
      <c r="D21" s="159" t="s">
        <v>6</v>
      </c>
      <c r="E21" s="160"/>
      <c r="F21" s="161"/>
      <c r="G21" s="15"/>
      <c r="I21" s="18">
        <f>IF($E$13="",G21,$E$13)</f>
        <v>0</v>
      </c>
      <c r="K21" s="19">
        <f t="shared" si="0"/>
        <v>0</v>
      </c>
    </row>
    <row r="22" spans="3:11" ht="15" customHeight="1" x14ac:dyDescent="0.2">
      <c r="G22" s="21" t="str">
        <f>IF(SUM(G17:G21)&gt;0,IF(SUM(G17:G21)=1,"","※合計値が100%になっていません"),"")</f>
        <v/>
      </c>
    </row>
    <row r="23" spans="3:11" ht="15" customHeight="1" x14ac:dyDescent="0.2">
      <c r="G23" s="21"/>
    </row>
    <row r="24" spans="3:11" ht="15" customHeight="1" x14ac:dyDescent="0.2">
      <c r="C24" s="2" t="s">
        <v>24</v>
      </c>
    </row>
    <row r="25" spans="3:11" ht="15" customHeight="1" x14ac:dyDescent="0.2">
      <c r="D25" s="155"/>
      <c r="E25" s="155" t="s">
        <v>2</v>
      </c>
      <c r="F25" s="155"/>
      <c r="G25" s="155"/>
      <c r="H25" s="155"/>
    </row>
    <row r="26" spans="3:11" ht="15" customHeight="1" x14ac:dyDescent="0.2">
      <c r="D26" s="155"/>
      <c r="E26" s="155" t="s">
        <v>0</v>
      </c>
      <c r="F26" s="155"/>
      <c r="G26" s="155" t="s">
        <v>1</v>
      </c>
      <c r="H26" s="155"/>
    </row>
    <row r="27" spans="3:11" ht="15" customHeight="1" x14ac:dyDescent="0.2">
      <c r="D27" s="155"/>
      <c r="E27" s="12" t="s">
        <v>18</v>
      </c>
      <c r="F27" s="12" t="s">
        <v>19</v>
      </c>
      <c r="G27" s="12" t="s">
        <v>18</v>
      </c>
      <c r="H27" s="12" t="s">
        <v>19</v>
      </c>
    </row>
    <row r="28" spans="3:11" ht="15" customHeight="1" x14ac:dyDescent="0.2">
      <c r="D28" s="17" t="s">
        <v>16</v>
      </c>
      <c r="E28" s="14"/>
      <c r="F28" s="14"/>
      <c r="G28" s="14"/>
      <c r="H28" s="14"/>
    </row>
    <row r="29" spans="3:11" ht="15" customHeight="1" x14ac:dyDescent="0.2">
      <c r="D29" s="17" t="s">
        <v>11</v>
      </c>
      <c r="E29" s="14"/>
      <c r="F29" s="14"/>
      <c r="G29" s="14"/>
      <c r="H29" s="14"/>
    </row>
    <row r="30" spans="3:11" ht="15" customHeight="1" x14ac:dyDescent="0.2">
      <c r="D30" s="17" t="s">
        <v>12</v>
      </c>
      <c r="E30" s="14"/>
      <c r="F30" s="14"/>
      <c r="G30" s="14"/>
      <c r="H30" s="14"/>
    </row>
    <row r="31" spans="3:11" ht="15" customHeight="1" x14ac:dyDescent="0.2">
      <c r="D31" s="17" t="s">
        <v>13</v>
      </c>
      <c r="E31" s="14"/>
      <c r="F31" s="14"/>
      <c r="G31" s="14"/>
      <c r="H31" s="14"/>
    </row>
    <row r="32" spans="3:11" ht="15" customHeight="1" x14ac:dyDescent="0.2">
      <c r="D32" s="17" t="s">
        <v>17</v>
      </c>
      <c r="E32" s="14"/>
      <c r="F32" s="14"/>
      <c r="G32" s="14"/>
      <c r="H32" s="14"/>
    </row>
    <row r="33" spans="4:8" ht="15" customHeight="1" x14ac:dyDescent="0.2">
      <c r="D33" s="17" t="s">
        <v>14</v>
      </c>
      <c r="E33" s="14"/>
      <c r="F33" s="14"/>
      <c r="G33" s="14"/>
      <c r="H33" s="14"/>
    </row>
    <row r="34" spans="4:8" ht="15" customHeight="1" x14ac:dyDescent="0.2">
      <c r="D34" s="17" t="s">
        <v>15</v>
      </c>
      <c r="E34" s="14"/>
      <c r="F34" s="14"/>
      <c r="G34" s="14"/>
      <c r="H34" s="14"/>
    </row>
    <row r="35" spans="4:8" ht="15" customHeight="1" x14ac:dyDescent="0.2">
      <c r="E35" s="145"/>
    </row>
    <row r="36" spans="4:8" ht="15" customHeight="1" x14ac:dyDescent="0.2">
      <c r="E36" s="145"/>
    </row>
    <row r="37" spans="4:8" ht="15" customHeight="1" x14ac:dyDescent="0.2">
      <c r="E37" s="145"/>
    </row>
    <row r="38" spans="4:8" ht="15" customHeight="1" x14ac:dyDescent="0.2">
      <c r="E38" s="145"/>
    </row>
    <row r="39" spans="4:8" ht="15" customHeight="1" x14ac:dyDescent="0.2">
      <c r="E39" s="145"/>
    </row>
    <row r="40" spans="4:8" ht="15" customHeight="1" x14ac:dyDescent="0.2">
      <c r="E40" s="145"/>
    </row>
    <row r="41" spans="4:8" ht="15" customHeight="1" x14ac:dyDescent="0.2">
      <c r="E41" s="145"/>
    </row>
    <row r="42" spans="4:8" ht="15" customHeight="1" x14ac:dyDescent="0.2">
      <c r="E42" s="145"/>
    </row>
    <row r="43" spans="4:8" ht="15" customHeight="1" x14ac:dyDescent="0.2">
      <c r="E43" s="145"/>
    </row>
    <row r="44" spans="4:8" ht="15" customHeight="1" x14ac:dyDescent="0.2">
      <c r="E44" s="145"/>
    </row>
    <row r="45" spans="4:8" ht="15" customHeight="1" x14ac:dyDescent="0.2">
      <c r="E45" s="145"/>
    </row>
    <row r="46" spans="4:8" ht="15" customHeight="1" x14ac:dyDescent="0.2">
      <c r="E46" s="145"/>
    </row>
    <row r="47" spans="4:8" ht="15" customHeight="1" x14ac:dyDescent="0.2">
      <c r="E47" s="145"/>
    </row>
    <row r="48" spans="4:8" ht="15" customHeight="1" x14ac:dyDescent="0.2">
      <c r="E48" s="145"/>
    </row>
    <row r="49" spans="5:8" ht="15" customHeight="1" x14ac:dyDescent="0.2">
      <c r="E49" s="145"/>
    </row>
    <row r="50" spans="5:8" ht="15" customHeight="1" x14ac:dyDescent="0.2">
      <c r="E50" s="145"/>
    </row>
    <row r="51" spans="5:8" ht="15" customHeight="1" x14ac:dyDescent="0.2">
      <c r="E51" s="145"/>
    </row>
    <row r="57" spans="5:8" ht="15" customHeight="1" x14ac:dyDescent="0.2">
      <c r="E57" s="146"/>
      <c r="F57" s="146"/>
      <c r="G57" s="146"/>
      <c r="H57" s="146"/>
    </row>
    <row r="58" spans="5:8" ht="15" customHeight="1" x14ac:dyDescent="0.2">
      <c r="E58" s="146"/>
      <c r="F58" s="146"/>
      <c r="G58" s="146"/>
      <c r="H58" s="146"/>
    </row>
    <row r="59" spans="5:8" ht="15" customHeight="1" x14ac:dyDescent="0.2">
      <c r="E59" s="146"/>
      <c r="F59" s="146"/>
      <c r="G59" s="146"/>
      <c r="H59" s="146"/>
    </row>
    <row r="60" spans="5:8" ht="15" customHeight="1" x14ac:dyDescent="0.2">
      <c r="E60" s="146"/>
      <c r="F60" s="146"/>
      <c r="G60" s="146"/>
      <c r="H60" s="146"/>
    </row>
    <row r="61" spans="5:8" ht="15" customHeight="1" x14ac:dyDescent="0.2">
      <c r="E61" s="146"/>
      <c r="F61" s="146"/>
      <c r="G61" s="146"/>
      <c r="H61" s="146"/>
    </row>
    <row r="62" spans="5:8" ht="15" customHeight="1" x14ac:dyDescent="0.2">
      <c r="E62" s="146"/>
      <c r="F62" s="146"/>
      <c r="G62" s="146"/>
      <c r="H62" s="146"/>
    </row>
    <row r="63" spans="5:8" ht="15" customHeight="1" x14ac:dyDescent="0.2">
      <c r="E63" s="146"/>
      <c r="F63" s="146"/>
      <c r="G63" s="146"/>
      <c r="H63" s="146"/>
    </row>
    <row r="64" spans="5:8" ht="15" customHeight="1" x14ac:dyDescent="0.2">
      <c r="E64" s="145"/>
    </row>
    <row r="65" spans="5:5" ht="15" customHeight="1" x14ac:dyDescent="0.2">
      <c r="E65" s="145"/>
    </row>
    <row r="66" spans="5:5" ht="15" customHeight="1" x14ac:dyDescent="0.2">
      <c r="E66" s="145"/>
    </row>
    <row r="68" spans="5:5" ht="15" customHeight="1" x14ac:dyDescent="0.2">
      <c r="E68" s="145"/>
    </row>
    <row r="70" spans="5:5" ht="15" customHeight="1" x14ac:dyDescent="0.2">
      <c r="E70" s="145"/>
    </row>
    <row r="71" spans="5:5" ht="15" customHeight="1" x14ac:dyDescent="0.2">
      <c r="E71" s="145"/>
    </row>
    <row r="72" spans="5:5" ht="15" customHeight="1" x14ac:dyDescent="0.2">
      <c r="E72" s="145"/>
    </row>
    <row r="73" spans="5:5" ht="15" customHeight="1" x14ac:dyDescent="0.2">
      <c r="E73" s="145"/>
    </row>
    <row r="74" spans="5:5" ht="15" customHeight="1" x14ac:dyDescent="0.2">
      <c r="E74" s="145"/>
    </row>
    <row r="76" spans="5:5" ht="15" customHeight="1" x14ac:dyDescent="0.2">
      <c r="E76" s="145"/>
    </row>
    <row r="77" spans="5:5" ht="15" customHeight="1" x14ac:dyDescent="0.2">
      <c r="E77" s="145"/>
    </row>
    <row r="78" spans="5:5" ht="15" customHeight="1" x14ac:dyDescent="0.2">
      <c r="E78" s="145"/>
    </row>
    <row r="80" spans="5:5" ht="15" customHeight="1" x14ac:dyDescent="0.2">
      <c r="E80" s="145"/>
    </row>
    <row r="81" spans="5:5" ht="15" customHeight="1" x14ac:dyDescent="0.2">
      <c r="E81" s="145"/>
    </row>
    <row r="82" spans="5:5" ht="15" customHeight="1" x14ac:dyDescent="0.2">
      <c r="E82" s="145"/>
    </row>
    <row r="83" spans="5:5" ht="15" customHeight="1" x14ac:dyDescent="0.2">
      <c r="E83" s="145"/>
    </row>
    <row r="84" spans="5:5" ht="15" customHeight="1" x14ac:dyDescent="0.2">
      <c r="E84" s="145"/>
    </row>
    <row r="85" spans="5:5" ht="15" customHeight="1" x14ac:dyDescent="0.2">
      <c r="E85" s="145"/>
    </row>
  </sheetData>
  <mergeCells count="8">
    <mergeCell ref="D25:D27"/>
    <mergeCell ref="E25:H25"/>
    <mergeCell ref="E26:F26"/>
    <mergeCell ref="G26:H26"/>
    <mergeCell ref="D17:D20"/>
    <mergeCell ref="E17:E18"/>
    <mergeCell ref="E19:E20"/>
    <mergeCell ref="D21:F21"/>
  </mergeCells>
  <phoneticPr fontId="3"/>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471B988-E9ED-4728-A42D-4337659A1CD9}">
          <x14:formula1>
            <xm:f>'（リスト用）'!$B$2:$B$48</xm:f>
          </x14:formula1>
          <xm:sqref>E5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493F-FF62-46A9-8A20-4966334584BB}">
  <dimension ref="C2:K22"/>
  <sheetViews>
    <sheetView showGridLines="0" workbookViewId="0"/>
  </sheetViews>
  <sheetFormatPr defaultColWidth="8.7109375" defaultRowHeight="15" customHeight="1" x14ac:dyDescent="0.2"/>
  <cols>
    <col min="1" max="1" width="3.5703125" style="2" customWidth="1"/>
    <col min="2" max="3" width="2.28515625" style="2" customWidth="1"/>
    <col min="4" max="11" width="16" style="2" customWidth="1"/>
    <col min="12" max="16384" width="8.7109375" style="2"/>
  </cols>
  <sheetData>
    <row r="2" spans="3:5" ht="15" customHeight="1" x14ac:dyDescent="0.2">
      <c r="C2" s="1" t="s">
        <v>26</v>
      </c>
      <c r="D2" s="1"/>
      <c r="E2" s="1"/>
    </row>
    <row r="4" spans="3:5" ht="15" customHeight="1" x14ac:dyDescent="0.2">
      <c r="C4" s="2" t="s">
        <v>22</v>
      </c>
    </row>
    <row r="5" spans="3:5" ht="15" customHeight="1" x14ac:dyDescent="0.2">
      <c r="D5" s="12" t="s">
        <v>4</v>
      </c>
      <c r="E5" s="13"/>
    </row>
    <row r="7" spans="3:5" ht="15" customHeight="1" x14ac:dyDescent="0.2">
      <c r="C7" s="2" t="s">
        <v>23</v>
      </c>
    </row>
    <row r="8" spans="3:5" ht="15" customHeight="1" x14ac:dyDescent="0.2">
      <c r="D8" s="2" t="s">
        <v>103</v>
      </c>
    </row>
    <row r="9" spans="3:5" ht="15" customHeight="1" x14ac:dyDescent="0.2">
      <c r="D9" s="12" t="s">
        <v>20</v>
      </c>
      <c r="E9" s="14"/>
    </row>
    <row r="11" spans="3:5" ht="15" customHeight="1" x14ac:dyDescent="0.2">
      <c r="C11" s="2" t="s">
        <v>100</v>
      </c>
    </row>
    <row r="12" spans="3:5" ht="15" customHeight="1" x14ac:dyDescent="0.2">
      <c r="D12" s="2" t="s">
        <v>101</v>
      </c>
    </row>
    <row r="13" spans="3:5" ht="15" customHeight="1" x14ac:dyDescent="0.2">
      <c r="D13" s="12" t="s">
        <v>99</v>
      </c>
      <c r="E13" s="15"/>
    </row>
    <row r="15" spans="3:5" ht="15" customHeight="1" x14ac:dyDescent="0.2">
      <c r="C15" s="2" t="s">
        <v>25</v>
      </c>
    </row>
    <row r="16" spans="3:5" ht="15" customHeight="1" x14ac:dyDescent="0.2">
      <c r="D16" s="2" t="s">
        <v>106</v>
      </c>
    </row>
    <row r="17" spans="4:11" ht="15" customHeight="1" x14ac:dyDescent="0.2">
      <c r="D17" s="152" t="s">
        <v>5</v>
      </c>
      <c r="E17" s="152" t="s">
        <v>7</v>
      </c>
      <c r="F17" s="12" t="s">
        <v>9</v>
      </c>
      <c r="G17" s="15"/>
      <c r="H17" s="16" t="s">
        <v>102</v>
      </c>
      <c r="I17" s="18">
        <f>IF($E$13="",G17,(1-$E$13)*G17/SUM($G$17:$G$20))</f>
        <v>0</v>
      </c>
      <c r="J17" s="16" t="s">
        <v>21</v>
      </c>
      <c r="K17" s="19">
        <f>$E$9*I17</f>
        <v>0</v>
      </c>
    </row>
    <row r="18" spans="4:11" ht="15" customHeight="1" x14ac:dyDescent="0.2">
      <c r="D18" s="153"/>
      <c r="E18" s="154"/>
      <c r="F18" s="12" t="s">
        <v>10</v>
      </c>
      <c r="G18" s="15"/>
      <c r="I18" s="18">
        <f>IF($E$13="",G18,(1-$E$13)*G18/SUM($G$17:$G$20))</f>
        <v>0</v>
      </c>
      <c r="K18" s="19">
        <f t="shared" ref="K18:K21" si="0">$E$9*I18</f>
        <v>0</v>
      </c>
    </row>
    <row r="19" spans="4:11" ht="15" customHeight="1" x14ac:dyDescent="0.2">
      <c r="D19" s="153"/>
      <c r="E19" s="152" t="s">
        <v>8</v>
      </c>
      <c r="F19" s="12" t="s">
        <v>9</v>
      </c>
      <c r="G19" s="15"/>
      <c r="I19" s="18">
        <f>IF($E$13="",G19,(1-$E$13)*G19/SUM($G$17:$G$20))</f>
        <v>0</v>
      </c>
      <c r="K19" s="19">
        <f t="shared" si="0"/>
        <v>0</v>
      </c>
    </row>
    <row r="20" spans="4:11" ht="15" customHeight="1" x14ac:dyDescent="0.2">
      <c r="D20" s="154"/>
      <c r="E20" s="154"/>
      <c r="F20" s="12" t="s">
        <v>10</v>
      </c>
      <c r="G20" s="15"/>
      <c r="I20" s="18">
        <f>IF($E$13="",G20,(1-$E$13)*G20/SUM($G$17:$G$20))</f>
        <v>0</v>
      </c>
      <c r="K20" s="19">
        <f t="shared" si="0"/>
        <v>0</v>
      </c>
    </row>
    <row r="21" spans="4:11" ht="15" customHeight="1" x14ac:dyDescent="0.2">
      <c r="D21" s="155" t="s">
        <v>6</v>
      </c>
      <c r="E21" s="155"/>
      <c r="F21" s="155"/>
      <c r="G21" s="15"/>
      <c r="I21" s="18">
        <f>IF($E$13="",G21,$E$13)</f>
        <v>0</v>
      </c>
      <c r="K21" s="19">
        <f t="shared" si="0"/>
        <v>0</v>
      </c>
    </row>
    <row r="22" spans="4:11" ht="15" customHeight="1" x14ac:dyDescent="0.2">
      <c r="G22" s="21" t="str">
        <f>IF(SUM(G17:G21)&gt;0,IF(SUM(G17:G21)=1,"","※合計値が100%になっていません"),"")</f>
        <v/>
      </c>
    </row>
  </sheetData>
  <mergeCells count="4">
    <mergeCell ref="D21:F21"/>
    <mergeCell ref="D17:D20"/>
    <mergeCell ref="E17:E18"/>
    <mergeCell ref="E19:E20"/>
  </mergeCells>
  <phoneticPr fontId="3"/>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6B4A469-925D-4A26-84E4-3E46C359294A}">
          <x14:formula1>
            <xm:f>'（リスト用）'!$B$2:$B$48</xm:f>
          </x14:formula1>
          <xm:sqref>E5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90562-0C1E-430D-9C63-B02CBDB54C37}">
  <dimension ref="C2:H14"/>
  <sheetViews>
    <sheetView showGridLines="0" workbookViewId="0"/>
  </sheetViews>
  <sheetFormatPr defaultColWidth="8.7109375" defaultRowHeight="15" customHeight="1" x14ac:dyDescent="0.2"/>
  <cols>
    <col min="1" max="1" width="3.5703125" style="2" customWidth="1"/>
    <col min="2" max="3" width="2.28515625" style="2" customWidth="1"/>
    <col min="4" max="9" width="16" style="2" customWidth="1"/>
    <col min="10" max="10" width="12.42578125" style="2" customWidth="1"/>
    <col min="11" max="16384" width="8.7109375" style="2"/>
  </cols>
  <sheetData>
    <row r="2" spans="3:8" ht="15" customHeight="1" x14ac:dyDescent="0.2">
      <c r="C2" s="1" t="s">
        <v>28</v>
      </c>
      <c r="D2" s="1"/>
      <c r="E2" s="1"/>
    </row>
    <row r="4" spans="3:8" ht="15" customHeight="1" x14ac:dyDescent="0.2">
      <c r="C4" s="2" t="s">
        <v>22</v>
      </c>
    </row>
    <row r="5" spans="3:8" ht="15" customHeight="1" x14ac:dyDescent="0.2">
      <c r="D5" s="12" t="s">
        <v>4</v>
      </c>
      <c r="E5" s="13"/>
    </row>
    <row r="7" spans="3:8" ht="15" customHeight="1" x14ac:dyDescent="0.2">
      <c r="C7" s="2" t="s">
        <v>23</v>
      </c>
    </row>
    <row r="8" spans="3:8" ht="15" customHeight="1" x14ac:dyDescent="0.2">
      <c r="D8" s="2" t="s">
        <v>103</v>
      </c>
    </row>
    <row r="9" spans="3:8" ht="15" customHeight="1" x14ac:dyDescent="0.2">
      <c r="D9" s="12" t="s">
        <v>20</v>
      </c>
      <c r="E9" s="14"/>
    </row>
    <row r="11" spans="3:8" ht="15" customHeight="1" x14ac:dyDescent="0.2">
      <c r="C11" s="2" t="s">
        <v>104</v>
      </c>
    </row>
    <row r="12" spans="3:8" ht="15" customHeight="1" x14ac:dyDescent="0.2">
      <c r="D12" s="2" t="s">
        <v>116</v>
      </c>
    </row>
    <row r="13" spans="3:8" ht="15" customHeight="1" x14ac:dyDescent="0.2">
      <c r="D13" s="12" t="s">
        <v>99</v>
      </c>
      <c r="E13" s="148"/>
      <c r="F13" s="16" t="s">
        <v>105</v>
      </c>
      <c r="G13" s="20" t="s">
        <v>2</v>
      </c>
      <c r="H13" s="19">
        <f>$E$9*(1-$E$13)</f>
        <v>0</v>
      </c>
    </row>
    <row r="14" spans="3:8" ht="15" customHeight="1" x14ac:dyDescent="0.2">
      <c r="G14" s="20" t="s">
        <v>3</v>
      </c>
      <c r="H14" s="19">
        <f>$E$9*$E$13</f>
        <v>0</v>
      </c>
    </row>
  </sheetData>
  <phoneticPr fontId="3"/>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9572C3E-E5AA-46C3-8407-70B8D311E893}">
          <x14:formula1>
            <xm:f>'（リスト用）'!$B$2:$B$48</xm:f>
          </x14:formula1>
          <xm:sqref>E5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1718D-608A-4522-8CBE-CEB022B574A0}">
  <dimension ref="A2:T46"/>
  <sheetViews>
    <sheetView showGridLines="0" zoomScale="75" zoomScaleNormal="75" workbookViewId="0"/>
  </sheetViews>
  <sheetFormatPr defaultColWidth="8.140625" defaultRowHeight="15" customHeight="1" x14ac:dyDescent="0.2"/>
  <cols>
    <col min="2" max="18" width="9.5703125" customWidth="1"/>
  </cols>
  <sheetData>
    <row r="2" spans="1:20" ht="15" customHeight="1" x14ac:dyDescent="0.2">
      <c r="B2" s="4"/>
      <c r="C2" s="3"/>
      <c r="D2" s="3"/>
      <c r="E2" s="3"/>
      <c r="F2" s="3"/>
      <c r="G2" s="3"/>
      <c r="H2" s="3"/>
      <c r="I2" s="3"/>
      <c r="J2" s="3"/>
      <c r="K2" s="3"/>
      <c r="L2" s="3"/>
      <c r="M2" s="3"/>
      <c r="N2" s="5" t="s">
        <v>560</v>
      </c>
      <c r="O2" s="3"/>
      <c r="P2" s="3"/>
      <c r="Q2" s="5" t="s">
        <v>76</v>
      </c>
    </row>
    <row r="3" spans="1:20" ht="15" customHeight="1" x14ac:dyDescent="0.2">
      <c r="B3" s="7" t="s">
        <v>561</v>
      </c>
      <c r="C3" s="6" t="s">
        <v>77</v>
      </c>
      <c r="D3" s="6" t="s">
        <v>78</v>
      </c>
      <c r="E3" s="6" t="s">
        <v>79</v>
      </c>
      <c r="F3" s="6" t="s">
        <v>80</v>
      </c>
      <c r="G3" s="6" t="s">
        <v>81</v>
      </c>
      <c r="H3" s="6" t="s">
        <v>82</v>
      </c>
      <c r="I3" s="6" t="s">
        <v>83</v>
      </c>
      <c r="J3" s="6" t="s">
        <v>84</v>
      </c>
      <c r="K3" s="6" t="s">
        <v>85</v>
      </c>
      <c r="L3" s="6" t="s">
        <v>86</v>
      </c>
      <c r="M3" s="6" t="s">
        <v>87</v>
      </c>
      <c r="N3" s="8" t="s">
        <v>88</v>
      </c>
      <c r="O3" s="3"/>
      <c r="P3" s="6" t="s">
        <v>562</v>
      </c>
      <c r="Q3" s="6" t="s">
        <v>563</v>
      </c>
    </row>
    <row r="4" spans="1:20" ht="29.45" customHeight="1" x14ac:dyDescent="0.2">
      <c r="B4" s="164" t="s">
        <v>160</v>
      </c>
      <c r="C4" s="164"/>
      <c r="D4" s="165" t="s">
        <v>89</v>
      </c>
      <c r="E4" s="166"/>
      <c r="F4" s="167"/>
      <c r="G4" s="168" t="s">
        <v>90</v>
      </c>
      <c r="H4" s="169"/>
      <c r="I4" s="170"/>
      <c r="J4" s="168" t="s">
        <v>91</v>
      </c>
      <c r="K4" s="169"/>
      <c r="L4" s="170"/>
      <c r="M4" s="162" t="s">
        <v>92</v>
      </c>
      <c r="N4" s="162" t="s">
        <v>93</v>
      </c>
      <c r="O4" s="3"/>
      <c r="P4" s="162" t="s">
        <v>94</v>
      </c>
      <c r="Q4" s="162" t="s">
        <v>95</v>
      </c>
    </row>
    <row r="5" spans="1:20" ht="29.45" customHeight="1" x14ac:dyDescent="0.2">
      <c r="B5" s="9" t="s">
        <v>5</v>
      </c>
      <c r="C5" s="10" t="s">
        <v>6</v>
      </c>
      <c r="D5" s="10" t="s">
        <v>96</v>
      </c>
      <c r="E5" s="10" t="s">
        <v>97</v>
      </c>
      <c r="F5" s="10" t="s">
        <v>98</v>
      </c>
      <c r="G5" s="10" t="s">
        <v>96</v>
      </c>
      <c r="H5" s="10" t="s">
        <v>97</v>
      </c>
      <c r="I5" s="10" t="s">
        <v>98</v>
      </c>
      <c r="J5" s="10" t="s">
        <v>96</v>
      </c>
      <c r="K5" s="10" t="s">
        <v>97</v>
      </c>
      <c r="L5" s="10" t="s">
        <v>98</v>
      </c>
      <c r="M5" s="163"/>
      <c r="N5" s="163"/>
      <c r="O5" s="3"/>
      <c r="P5" s="163"/>
      <c r="Q5" s="163"/>
    </row>
    <row r="6" spans="1:20" s="3" customFormat="1" ht="39.6" customHeight="1" x14ac:dyDescent="0.2">
      <c r="A6"/>
      <c r="B6" s="19">
        <f>'（計算用1）'!C188</f>
        <v>0</v>
      </c>
      <c r="C6" s="19">
        <f>'（計算用1）'!C189</f>
        <v>0</v>
      </c>
      <c r="D6" s="19">
        <f>'（計算用2）'!D43</f>
        <v>0</v>
      </c>
      <c r="E6" s="19" t="e">
        <f>'（計算用2）'!E43</f>
        <v>#DIV/0!</v>
      </c>
      <c r="F6" s="19" t="e">
        <f>D6+E6</f>
        <v>#DIV/0!</v>
      </c>
      <c r="G6" s="19">
        <f>'（計算用2）'!Q43</f>
        <v>0</v>
      </c>
      <c r="H6" s="19" t="e">
        <f>'（計算用2）'!R43</f>
        <v>#DIV/0!</v>
      </c>
      <c r="I6" s="19" t="e">
        <f>G6+H6</f>
        <v>#DIV/0!</v>
      </c>
      <c r="J6" s="19">
        <f>'（計算用2）'!W43</f>
        <v>0</v>
      </c>
      <c r="K6" s="19" t="e">
        <f>'（計算用2）'!X43</f>
        <v>#DIV/0!</v>
      </c>
      <c r="L6" s="19" t="e">
        <f>J6+K6</f>
        <v>#DIV/0!</v>
      </c>
      <c r="M6" s="19" t="e">
        <f>'（計算用2）'!AD43</f>
        <v>#DIV/0!</v>
      </c>
      <c r="N6" s="19" t="e">
        <f>'（計算用2）'!AE43</f>
        <v>#DIV/0!</v>
      </c>
      <c r="P6" s="11" t="e">
        <f>F6/D6</f>
        <v>#DIV/0!</v>
      </c>
      <c r="Q6" s="11" t="e">
        <f>N6/D6</f>
        <v>#DIV/0!</v>
      </c>
      <c r="S6"/>
      <c r="T6"/>
    </row>
    <row r="9" spans="1:20" ht="15" customHeight="1" x14ac:dyDescent="0.2">
      <c r="B9" t="s">
        <v>564</v>
      </c>
      <c r="F9" s="142"/>
    </row>
    <row r="10" spans="1:20" ht="12" x14ac:dyDescent="0.2">
      <c r="B10" s="143" t="str">
        <f>'（計算用2）'!C6</f>
        <v>農林漁業</v>
      </c>
      <c r="C10" s="147"/>
      <c r="D10" s="144"/>
      <c r="E10" s="59" t="e">
        <f>'（計算用2）'!AE6</f>
        <v>#DIV/0!</v>
      </c>
    </row>
    <row r="11" spans="1:20" ht="12" x14ac:dyDescent="0.2">
      <c r="B11" s="143" t="str">
        <f>'（計算用2）'!C7</f>
        <v>鉱業</v>
      </c>
      <c r="C11" s="147"/>
      <c r="D11" s="144"/>
      <c r="E11" s="59" t="e">
        <f>'（計算用2）'!AE7</f>
        <v>#DIV/0!</v>
      </c>
    </row>
    <row r="12" spans="1:20" ht="12" x14ac:dyDescent="0.2">
      <c r="B12" s="143" t="str">
        <f>'（計算用2）'!C8</f>
        <v>飲食料品</v>
      </c>
      <c r="C12" s="147"/>
      <c r="D12" s="144"/>
      <c r="E12" s="59" t="e">
        <f>'（計算用2）'!AE8</f>
        <v>#DIV/0!</v>
      </c>
    </row>
    <row r="13" spans="1:20" ht="12" x14ac:dyDescent="0.2">
      <c r="B13" s="143" t="str">
        <f>'（計算用2）'!C9</f>
        <v>繊維製品</v>
      </c>
      <c r="C13" s="147"/>
      <c r="D13" s="144"/>
      <c r="E13" s="59" t="e">
        <f>'（計算用2）'!AE9</f>
        <v>#DIV/0!</v>
      </c>
    </row>
    <row r="14" spans="1:20" ht="12" x14ac:dyDescent="0.2">
      <c r="B14" s="143" t="str">
        <f>'（計算用2）'!C10</f>
        <v>パルプ・紙・木製品</v>
      </c>
      <c r="C14" s="147"/>
      <c r="D14" s="144"/>
      <c r="E14" s="59" t="e">
        <f>'（計算用2）'!AE10</f>
        <v>#DIV/0!</v>
      </c>
    </row>
    <row r="15" spans="1:20" ht="12" x14ac:dyDescent="0.2">
      <c r="B15" s="143" t="str">
        <f>'（計算用2）'!C11</f>
        <v>化学製品</v>
      </c>
      <c r="C15" s="147"/>
      <c r="D15" s="144"/>
      <c r="E15" s="59" t="e">
        <f>'（計算用2）'!AE11</f>
        <v>#DIV/0!</v>
      </c>
    </row>
    <row r="16" spans="1:20" ht="12" x14ac:dyDescent="0.2">
      <c r="B16" s="143" t="str">
        <f>'（計算用2）'!C12</f>
        <v>石油・石炭製品</v>
      </c>
      <c r="C16" s="147"/>
      <c r="D16" s="144"/>
      <c r="E16" s="59" t="e">
        <f>'（計算用2）'!AE12</f>
        <v>#DIV/0!</v>
      </c>
    </row>
    <row r="17" spans="2:5" ht="12" x14ac:dyDescent="0.2">
      <c r="B17" s="143" t="str">
        <f>'（計算用2）'!C13</f>
        <v>プラスチック・ゴム製品</v>
      </c>
      <c r="C17" s="147"/>
      <c r="D17" s="144"/>
      <c r="E17" s="59" t="e">
        <f>'（計算用2）'!AE13</f>
        <v>#DIV/0!</v>
      </c>
    </row>
    <row r="18" spans="2:5" ht="12" x14ac:dyDescent="0.2">
      <c r="B18" s="143" t="str">
        <f>'（計算用2）'!C14</f>
        <v>窯業・土石製品</v>
      </c>
      <c r="C18" s="147"/>
      <c r="D18" s="144"/>
      <c r="E18" s="59" t="e">
        <f>'（計算用2）'!AE14</f>
        <v>#DIV/0!</v>
      </c>
    </row>
    <row r="19" spans="2:5" ht="12" x14ac:dyDescent="0.2">
      <c r="B19" s="143" t="str">
        <f>'（計算用2）'!C15</f>
        <v>鉄鋼</v>
      </c>
      <c r="C19" s="147"/>
      <c r="D19" s="144"/>
      <c r="E19" s="59" t="e">
        <f>'（計算用2）'!AE15</f>
        <v>#DIV/0!</v>
      </c>
    </row>
    <row r="20" spans="2:5" ht="12" x14ac:dyDescent="0.2">
      <c r="B20" s="143" t="str">
        <f>'（計算用2）'!C16</f>
        <v>非鉄金属</v>
      </c>
      <c r="C20" s="147"/>
      <c r="D20" s="144"/>
      <c r="E20" s="59" t="e">
        <f>'（計算用2）'!AE16</f>
        <v>#DIV/0!</v>
      </c>
    </row>
    <row r="21" spans="2:5" ht="12" x14ac:dyDescent="0.2">
      <c r="B21" s="143" t="str">
        <f>'（計算用2）'!C17</f>
        <v>金属製品</v>
      </c>
      <c r="C21" s="147"/>
      <c r="D21" s="144"/>
      <c r="E21" s="59" t="e">
        <f>'（計算用2）'!AE17</f>
        <v>#DIV/0!</v>
      </c>
    </row>
    <row r="22" spans="2:5" ht="12" x14ac:dyDescent="0.2">
      <c r="B22" s="143" t="str">
        <f>'（計算用2）'!C18</f>
        <v>はん用機械</v>
      </c>
      <c r="C22" s="147"/>
      <c r="D22" s="144"/>
      <c r="E22" s="59" t="e">
        <f>'（計算用2）'!AE18</f>
        <v>#DIV/0!</v>
      </c>
    </row>
    <row r="23" spans="2:5" ht="12" x14ac:dyDescent="0.2">
      <c r="B23" s="143" t="str">
        <f>'（計算用2）'!C19</f>
        <v>生産用機械</v>
      </c>
      <c r="C23" s="147"/>
      <c r="D23" s="144"/>
      <c r="E23" s="59" t="e">
        <f>'（計算用2）'!AE19</f>
        <v>#DIV/0!</v>
      </c>
    </row>
    <row r="24" spans="2:5" ht="12" x14ac:dyDescent="0.2">
      <c r="B24" s="143" t="str">
        <f>'（計算用2）'!C20</f>
        <v>業務用機械</v>
      </c>
      <c r="C24" s="147"/>
      <c r="D24" s="144"/>
      <c r="E24" s="59" t="e">
        <f>'（計算用2）'!AE20</f>
        <v>#DIV/0!</v>
      </c>
    </row>
    <row r="25" spans="2:5" ht="12" x14ac:dyDescent="0.2">
      <c r="B25" s="143" t="str">
        <f>'（計算用2）'!C21</f>
        <v>電子部品</v>
      </c>
      <c r="C25" s="147"/>
      <c r="D25" s="144"/>
      <c r="E25" s="59" t="e">
        <f>'（計算用2）'!AE21</f>
        <v>#DIV/0!</v>
      </c>
    </row>
    <row r="26" spans="2:5" ht="12" x14ac:dyDescent="0.2">
      <c r="B26" s="143" t="str">
        <f>'（計算用2）'!C22</f>
        <v>電気機械</v>
      </c>
      <c r="C26" s="147"/>
      <c r="D26" s="144"/>
      <c r="E26" s="59" t="e">
        <f>'（計算用2）'!AE22</f>
        <v>#DIV/0!</v>
      </c>
    </row>
    <row r="27" spans="2:5" ht="12" x14ac:dyDescent="0.2">
      <c r="B27" s="143" t="str">
        <f>'（計算用2）'!C23</f>
        <v>情報通信機器</v>
      </c>
      <c r="C27" s="147"/>
      <c r="D27" s="144"/>
      <c r="E27" s="59" t="e">
        <f>'（計算用2）'!AE23</f>
        <v>#DIV/0!</v>
      </c>
    </row>
    <row r="28" spans="2:5" ht="12" x14ac:dyDescent="0.2">
      <c r="B28" s="143" t="str">
        <f>'（計算用2）'!C24</f>
        <v>輸送機械</v>
      </c>
      <c r="C28" s="147"/>
      <c r="D28" s="144"/>
      <c r="E28" s="59" t="e">
        <f>'（計算用2）'!AE24</f>
        <v>#DIV/0!</v>
      </c>
    </row>
    <row r="29" spans="2:5" ht="12" x14ac:dyDescent="0.2">
      <c r="B29" s="143" t="str">
        <f>'（計算用2）'!C25</f>
        <v>その他の製造工業製品</v>
      </c>
      <c r="C29" s="147"/>
      <c r="D29" s="144"/>
      <c r="E29" s="59" t="e">
        <f>'（計算用2）'!AE25</f>
        <v>#DIV/0!</v>
      </c>
    </row>
    <row r="30" spans="2:5" ht="12" x14ac:dyDescent="0.2">
      <c r="B30" s="143" t="str">
        <f>'（計算用2）'!C26</f>
        <v>建設</v>
      </c>
      <c r="C30" s="147"/>
      <c r="D30" s="144"/>
      <c r="E30" s="59" t="e">
        <f>'（計算用2）'!AE26</f>
        <v>#DIV/0!</v>
      </c>
    </row>
    <row r="31" spans="2:5" ht="12" x14ac:dyDescent="0.2">
      <c r="B31" s="143" t="str">
        <f>'（計算用2）'!C27</f>
        <v>電力・ガス・熱供給</v>
      </c>
      <c r="C31" s="147"/>
      <c r="D31" s="144"/>
      <c r="E31" s="59" t="e">
        <f>'（計算用2）'!AE27</f>
        <v>#DIV/0!</v>
      </c>
    </row>
    <row r="32" spans="2:5" ht="12" x14ac:dyDescent="0.2">
      <c r="B32" s="143" t="str">
        <f>'（計算用2）'!C28</f>
        <v>水道</v>
      </c>
      <c r="C32" s="147"/>
      <c r="D32" s="144"/>
      <c r="E32" s="59" t="e">
        <f>'（計算用2）'!AE28</f>
        <v>#DIV/0!</v>
      </c>
    </row>
    <row r="33" spans="2:5" ht="12" x14ac:dyDescent="0.2">
      <c r="B33" s="143" t="str">
        <f>'（計算用2）'!C29</f>
        <v>廃棄物処理</v>
      </c>
      <c r="C33" s="147"/>
      <c r="D33" s="144"/>
      <c r="E33" s="59" t="e">
        <f>'（計算用2）'!AE29</f>
        <v>#DIV/0!</v>
      </c>
    </row>
    <row r="34" spans="2:5" ht="12" x14ac:dyDescent="0.2">
      <c r="B34" s="143" t="str">
        <f>'（計算用2）'!C30</f>
        <v>商業</v>
      </c>
      <c r="C34" s="147"/>
      <c r="D34" s="144"/>
      <c r="E34" s="59" t="e">
        <f>'（計算用2）'!AE30</f>
        <v>#DIV/0!</v>
      </c>
    </row>
    <row r="35" spans="2:5" ht="12" x14ac:dyDescent="0.2">
      <c r="B35" s="143" t="str">
        <f>'（計算用2）'!C31</f>
        <v>金融・保険</v>
      </c>
      <c r="C35" s="147"/>
      <c r="D35" s="144"/>
      <c r="E35" s="59" t="e">
        <f>'（計算用2）'!AE31</f>
        <v>#DIV/0!</v>
      </c>
    </row>
    <row r="36" spans="2:5" ht="12" x14ac:dyDescent="0.2">
      <c r="B36" s="143" t="str">
        <f>'（計算用2）'!C32</f>
        <v>不動産</v>
      </c>
      <c r="C36" s="147"/>
      <c r="D36" s="144"/>
      <c r="E36" s="59" t="e">
        <f>'（計算用2）'!AE32</f>
        <v>#DIV/0!</v>
      </c>
    </row>
    <row r="37" spans="2:5" ht="12" x14ac:dyDescent="0.2">
      <c r="B37" s="143" t="str">
        <f>'（計算用2）'!C33</f>
        <v>運輸・郵便</v>
      </c>
      <c r="C37" s="147"/>
      <c r="D37" s="144"/>
      <c r="E37" s="59" t="e">
        <f>'（計算用2）'!AE33</f>
        <v>#DIV/0!</v>
      </c>
    </row>
    <row r="38" spans="2:5" ht="12" x14ac:dyDescent="0.2">
      <c r="B38" s="143" t="str">
        <f>'（計算用2）'!C34</f>
        <v>情報通信</v>
      </c>
      <c r="C38" s="147"/>
      <c r="D38" s="144"/>
      <c r="E38" s="59" t="e">
        <f>'（計算用2）'!AE34</f>
        <v>#DIV/0!</v>
      </c>
    </row>
    <row r="39" spans="2:5" ht="12" x14ac:dyDescent="0.2">
      <c r="B39" s="143" t="str">
        <f>'（計算用2）'!C35</f>
        <v>公務</v>
      </c>
      <c r="C39" s="147"/>
      <c r="D39" s="144"/>
      <c r="E39" s="59" t="e">
        <f>'（計算用2）'!AE35</f>
        <v>#DIV/0!</v>
      </c>
    </row>
    <row r="40" spans="2:5" ht="12" x14ac:dyDescent="0.2">
      <c r="B40" s="143" t="str">
        <f>'（計算用2）'!C36</f>
        <v>教育・研究</v>
      </c>
      <c r="C40" s="147"/>
      <c r="D40" s="144"/>
      <c r="E40" s="59" t="e">
        <f>'（計算用2）'!AE36</f>
        <v>#DIV/0!</v>
      </c>
    </row>
    <row r="41" spans="2:5" ht="12" x14ac:dyDescent="0.2">
      <c r="B41" s="143" t="str">
        <f>'（計算用2）'!C37</f>
        <v>医療・福祉</v>
      </c>
      <c r="C41" s="147"/>
      <c r="D41" s="144"/>
      <c r="E41" s="59" t="e">
        <f>'（計算用2）'!AE37</f>
        <v>#DIV/0!</v>
      </c>
    </row>
    <row r="42" spans="2:5" ht="12" x14ac:dyDescent="0.2">
      <c r="B42" s="143" t="str">
        <f>'（計算用2）'!C38</f>
        <v>他に分類されない会員制団体</v>
      </c>
      <c r="C42" s="147"/>
      <c r="D42" s="144"/>
      <c r="E42" s="59" t="e">
        <f>'（計算用2）'!AE38</f>
        <v>#DIV/0!</v>
      </c>
    </row>
    <row r="43" spans="2:5" ht="12" x14ac:dyDescent="0.2">
      <c r="B43" s="143" t="str">
        <f>'（計算用2）'!C39</f>
        <v>対事業所サービス</v>
      </c>
      <c r="C43" s="147"/>
      <c r="D43" s="144"/>
      <c r="E43" s="59" t="e">
        <f>'（計算用2）'!AE39</f>
        <v>#DIV/0!</v>
      </c>
    </row>
    <row r="44" spans="2:5" ht="12" x14ac:dyDescent="0.2">
      <c r="B44" s="143" t="str">
        <f>'（計算用2）'!C40</f>
        <v>対個人サービス</v>
      </c>
      <c r="C44" s="147"/>
      <c r="D44" s="144"/>
      <c r="E44" s="59" t="e">
        <f>'（計算用2）'!AE40</f>
        <v>#DIV/0!</v>
      </c>
    </row>
    <row r="45" spans="2:5" ht="12" x14ac:dyDescent="0.2">
      <c r="B45" s="143" t="str">
        <f>'（計算用2）'!C41</f>
        <v>事務用品</v>
      </c>
      <c r="C45" s="147"/>
      <c r="D45" s="144"/>
      <c r="E45" s="59" t="e">
        <f>'（計算用2）'!AE41</f>
        <v>#DIV/0!</v>
      </c>
    </row>
    <row r="46" spans="2:5" ht="12" x14ac:dyDescent="0.2">
      <c r="B46" s="143" t="str">
        <f>'（計算用2）'!C42</f>
        <v>分類不明</v>
      </c>
      <c r="C46" s="147"/>
      <c r="D46" s="144"/>
      <c r="E46" s="59" t="e">
        <f>'（計算用2）'!AE42</f>
        <v>#DIV/0!</v>
      </c>
    </row>
  </sheetData>
  <mergeCells count="8">
    <mergeCell ref="N4:N5"/>
    <mergeCell ref="P4:P5"/>
    <mergeCell ref="Q4:Q5"/>
    <mergeCell ref="B4:C4"/>
    <mergeCell ref="D4:F4"/>
    <mergeCell ref="G4:I4"/>
    <mergeCell ref="J4:L4"/>
    <mergeCell ref="M4:M5"/>
  </mergeCells>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BC97-224C-4E47-8072-FC26C95FD211}">
  <dimension ref="B2:AD196"/>
  <sheetViews>
    <sheetView showGridLines="0" zoomScale="75" zoomScaleNormal="75" workbookViewId="0"/>
  </sheetViews>
  <sheetFormatPr defaultColWidth="15.42578125" defaultRowHeight="12" x14ac:dyDescent="0.2"/>
  <cols>
    <col min="1" max="1" width="3.42578125" customWidth="1"/>
    <col min="17" max="19" width="15.42578125" style="68"/>
  </cols>
  <sheetData>
    <row r="2" spans="2:30" x14ac:dyDescent="0.2">
      <c r="B2" s="1" t="s">
        <v>108</v>
      </c>
      <c r="Q2" s="66" t="s">
        <v>353</v>
      </c>
      <c r="R2" s="67"/>
      <c r="S2" s="67"/>
      <c r="U2" s="74" t="s">
        <v>368</v>
      </c>
      <c r="W2" s="74"/>
      <c r="X2" s="74" t="s">
        <v>370</v>
      </c>
    </row>
    <row r="3" spans="2:30" x14ac:dyDescent="0.2">
      <c r="B3" t="s">
        <v>117</v>
      </c>
      <c r="Q3" s="171" t="s">
        <v>171</v>
      </c>
      <c r="R3" s="71" t="s">
        <v>172</v>
      </c>
      <c r="S3" s="73">
        <f>IF('1_採択区分・推計パターン選択'!$D$4='（計算用1）'!$Q$2,'2_主催・共催型'!H5,0)</f>
        <v>0</v>
      </c>
      <c r="U3" s="54" t="s">
        <v>366</v>
      </c>
      <c r="V3" s="55">
        <f t="shared" ref="V3:V12" si="0">S3+S15</f>
        <v>0</v>
      </c>
      <c r="W3" s="74" t="s">
        <v>369</v>
      </c>
      <c r="X3" s="54" t="s">
        <v>366</v>
      </c>
      <c r="Y3" s="77">
        <f>IF(V3=0,0,V3)</f>
        <v>0</v>
      </c>
      <c r="Z3" s="74" t="s">
        <v>371</v>
      </c>
      <c r="AA3" s="74" t="s">
        <v>372</v>
      </c>
      <c r="AB3" s="74" t="s">
        <v>369</v>
      </c>
      <c r="AC3" s="76" t="s">
        <v>377</v>
      </c>
      <c r="AD3" s="75">
        <f>SUMIF($AA$3:$AA$13,AC3,$Y$3:$Y$13)</f>
        <v>0</v>
      </c>
    </row>
    <row r="4" spans="2:30" x14ac:dyDescent="0.2">
      <c r="B4" s="155" t="s">
        <v>2</v>
      </c>
      <c r="C4" s="155"/>
      <c r="D4" s="155"/>
      <c r="E4" s="155"/>
      <c r="F4" s="179" t="s">
        <v>3</v>
      </c>
      <c r="Q4" s="172"/>
      <c r="R4" s="71" t="s">
        <v>173</v>
      </c>
      <c r="S4" s="73">
        <f>IF('1_採択区分・推計パターン選択'!$D$4='（計算用1）'!$Q$2,'2_主催・共催型'!H6,0)</f>
        <v>0</v>
      </c>
      <c r="U4" s="54" t="s">
        <v>238</v>
      </c>
      <c r="V4" s="55">
        <f t="shared" si="0"/>
        <v>0</v>
      </c>
      <c r="X4" s="54" t="s">
        <v>238</v>
      </c>
      <c r="Y4" s="77">
        <f>IF(V4=0,0,SUM($V$13,$V$15)*V4/SUM($V$4:$V$12)+V4)</f>
        <v>0</v>
      </c>
      <c r="Z4" s="74" t="s">
        <v>371</v>
      </c>
      <c r="AA4" s="74" t="s">
        <v>374</v>
      </c>
      <c r="AC4" s="76" t="s">
        <v>382</v>
      </c>
      <c r="AD4" s="75">
        <f t="shared" ref="AD4:AD11" si="1">SUMIF($AA$3:$AA$13,AC4,$Y$3:$Y$13)</f>
        <v>0</v>
      </c>
    </row>
    <row r="5" spans="2:30" x14ac:dyDescent="0.2">
      <c r="B5" s="155" t="s">
        <v>0</v>
      </c>
      <c r="C5" s="155"/>
      <c r="D5" s="155" t="s">
        <v>1</v>
      </c>
      <c r="E5" s="155"/>
      <c r="F5" s="179"/>
      <c r="Q5" s="172"/>
      <c r="R5" s="71" t="s">
        <v>170</v>
      </c>
      <c r="S5" s="73">
        <f>IF('1_採択区分・推計パターン選択'!$D$4='（計算用1）'!$Q$2,'2_主催・共催型'!H7,0)</f>
        <v>0</v>
      </c>
      <c r="U5" s="54" t="s">
        <v>239</v>
      </c>
      <c r="V5" s="55">
        <f t="shared" si="0"/>
        <v>0</v>
      </c>
      <c r="X5" s="54" t="s">
        <v>239</v>
      </c>
      <c r="Y5" s="77">
        <f>IF(V5=0,0,SUM($V$13,$V$15)*V5/SUM($V$4:$V$12)+V5)</f>
        <v>0</v>
      </c>
      <c r="Z5" s="74" t="s">
        <v>371</v>
      </c>
      <c r="AA5" s="74" t="s">
        <v>376</v>
      </c>
      <c r="AC5" s="76" t="s">
        <v>373</v>
      </c>
      <c r="AD5" s="75">
        <f t="shared" si="1"/>
        <v>0</v>
      </c>
    </row>
    <row r="6" spans="2:30" x14ac:dyDescent="0.2">
      <c r="B6" s="12" t="s">
        <v>18</v>
      </c>
      <c r="C6" s="12" t="s">
        <v>19</v>
      </c>
      <c r="D6" s="12" t="s">
        <v>18</v>
      </c>
      <c r="E6" s="12" t="s">
        <v>19</v>
      </c>
      <c r="F6" s="179"/>
      <c r="Q6" s="172"/>
      <c r="R6" s="71" t="s">
        <v>174</v>
      </c>
      <c r="S6" s="73">
        <f>IF('1_採択区分・推計パターン選択'!$D$4='（計算用1）'!$Q$2,'2_主催・共催型'!H8,0)</f>
        <v>0</v>
      </c>
      <c r="U6" s="54" t="s">
        <v>240</v>
      </c>
      <c r="V6" s="55">
        <f t="shared" si="0"/>
        <v>0</v>
      </c>
      <c r="X6" s="54" t="s">
        <v>240</v>
      </c>
      <c r="Y6" s="77">
        <f>IF(V6=0,0,SUM($V$13,$V$15)*V6/SUM($V$4:$V$12)+V6)</f>
        <v>0</v>
      </c>
      <c r="Z6" s="74" t="s">
        <v>371</v>
      </c>
      <c r="AA6" s="74" t="s">
        <v>374</v>
      </c>
      <c r="AC6" s="76" t="s">
        <v>379</v>
      </c>
      <c r="AD6" s="75">
        <f t="shared" si="1"/>
        <v>0</v>
      </c>
    </row>
    <row r="7" spans="2:30" x14ac:dyDescent="0.2">
      <c r="B7" s="22">
        <f>IF('1_採択区分・推計パターン選択'!$D$5="パターン①",'3_パターン①'!$K$17,0)</f>
        <v>0</v>
      </c>
      <c r="C7" s="22">
        <f>IF('1_採択区分・推計パターン選択'!$D$5="パターン①",'3_パターン①'!$K$18,0)</f>
        <v>0</v>
      </c>
      <c r="D7" s="22">
        <f>IF('1_採択区分・推計パターン選択'!$D$5="パターン①",'3_パターン①'!$K$19,0)</f>
        <v>0</v>
      </c>
      <c r="E7" s="22">
        <f>IF('1_採択区分・推計パターン選択'!$D$5="パターン①",'3_パターン①'!$K$20,0)</f>
        <v>0</v>
      </c>
      <c r="F7" s="22">
        <f>IF('1_採択区分・推計パターン選択'!$D$5="パターン①",'3_パターン①'!$K$21,0)</f>
        <v>0</v>
      </c>
      <c r="Q7" s="172"/>
      <c r="R7" s="71" t="s">
        <v>175</v>
      </c>
      <c r="S7" s="73">
        <f>IF('1_採択区分・推計パターン選択'!$D$4='（計算用1）'!$Q$2,'2_主催・共催型'!H9,0)</f>
        <v>0</v>
      </c>
      <c r="U7" s="54" t="s">
        <v>241</v>
      </c>
      <c r="V7" s="55">
        <f t="shared" si="0"/>
        <v>0</v>
      </c>
      <c r="X7" s="54" t="s">
        <v>241</v>
      </c>
      <c r="Y7" s="77">
        <f>IF(V7=0,0,SUM($V$13,$V$15)*V7/SUM($V$4:$V$12)+V7)</f>
        <v>0</v>
      </c>
      <c r="Z7" s="74" t="s">
        <v>371</v>
      </c>
      <c r="AA7" s="74" t="s">
        <v>445</v>
      </c>
      <c r="AC7" s="76" t="s">
        <v>445</v>
      </c>
      <c r="AD7" s="75">
        <f t="shared" si="1"/>
        <v>0</v>
      </c>
    </row>
    <row r="8" spans="2:30" x14ac:dyDescent="0.2">
      <c r="Q8" s="172"/>
      <c r="R8" s="71" t="s">
        <v>176</v>
      </c>
      <c r="S8" s="73">
        <f>IF('1_採択区分・推計パターン選択'!$D$4='（計算用1）'!$Q$2,'2_主催・共催型'!H10,0)</f>
        <v>0</v>
      </c>
      <c r="U8" s="54" t="s">
        <v>242</v>
      </c>
      <c r="V8" s="55">
        <f t="shared" si="0"/>
        <v>0</v>
      </c>
      <c r="X8" s="54" t="s">
        <v>242</v>
      </c>
      <c r="Y8" s="77">
        <f>IF(V8=0,0,SUM($V$13,$V$15)*V8/SUM($V$4:$V$12)+V8)</f>
        <v>0</v>
      </c>
      <c r="Z8" s="74" t="s">
        <v>371</v>
      </c>
      <c r="AA8" s="74" t="s">
        <v>378</v>
      </c>
      <c r="AC8" s="76" t="s">
        <v>375</v>
      </c>
      <c r="AD8" s="75">
        <f t="shared" si="1"/>
        <v>0</v>
      </c>
    </row>
    <row r="9" spans="2:30" x14ac:dyDescent="0.2">
      <c r="B9" s="54" t="s">
        <v>3</v>
      </c>
      <c r="C9" s="12" t="s">
        <v>18</v>
      </c>
      <c r="D9" s="12" t="s">
        <v>19</v>
      </c>
      <c r="Q9" s="172"/>
      <c r="R9" s="71" t="s">
        <v>177</v>
      </c>
      <c r="S9" s="73">
        <f>IF('1_採択区分・推計パターン選択'!$D$4='（計算用1）'!$Q$2,'2_主催・共催型'!H11,0)</f>
        <v>0</v>
      </c>
      <c r="U9" s="54" t="s">
        <v>243</v>
      </c>
      <c r="V9" s="55">
        <f t="shared" si="0"/>
        <v>0</v>
      </c>
      <c r="X9" s="54" t="s">
        <v>243</v>
      </c>
      <c r="Y9" s="77">
        <f t="shared" ref="Y9:Y12" si="2">IF(V9=0,0,SUM($V$13,$V$15)*V9/SUM($V$4:$V$12)+V9)</f>
        <v>0</v>
      </c>
      <c r="Z9" s="74" t="s">
        <v>371</v>
      </c>
      <c r="AA9" s="74" t="s">
        <v>380</v>
      </c>
      <c r="AC9" s="76" t="s">
        <v>380</v>
      </c>
      <c r="AD9" s="75">
        <f t="shared" si="1"/>
        <v>0</v>
      </c>
    </row>
    <row r="10" spans="2:30" x14ac:dyDescent="0.2">
      <c r="B10" s="57" t="s">
        <v>152</v>
      </c>
      <c r="C10" s="55">
        <f>IF('1_採択区分・推計パターン選択'!$D$5="パターン①",IF('3_パターン①'!$E$5="","",VLOOKUP('3_パターン①'!$E$5,'（入込数）'!$B$6:$N$52,10,FALSE)),0)</f>
        <v>0</v>
      </c>
      <c r="D10" s="55">
        <f>IF('1_採択区分・推計パターン選択'!$D$5="パターン①",IF('3_パターン①'!$E$5="","",VLOOKUP('3_パターン①'!$E$5,'（入込数）'!$B$6:$N$52,11,FALSE)),0)</f>
        <v>0</v>
      </c>
      <c r="Q10" s="172"/>
      <c r="R10" s="71" t="s">
        <v>178</v>
      </c>
      <c r="S10" s="73">
        <f>IF('1_採択区分・推計パターン選択'!$D$4='（計算用1）'!$Q$2,'2_主催・共催型'!H12,0)</f>
        <v>0</v>
      </c>
      <c r="U10" s="54" t="s">
        <v>244</v>
      </c>
      <c r="V10" s="55">
        <f t="shared" si="0"/>
        <v>0</v>
      </c>
      <c r="X10" s="54" t="s">
        <v>244</v>
      </c>
      <c r="Y10" s="77">
        <f t="shared" si="2"/>
        <v>0</v>
      </c>
      <c r="Z10" s="74" t="s">
        <v>371</v>
      </c>
      <c r="AA10" s="74" t="s">
        <v>374</v>
      </c>
      <c r="AC10" s="76" t="s">
        <v>387</v>
      </c>
      <c r="AD10" s="75">
        <f t="shared" si="1"/>
        <v>0</v>
      </c>
    </row>
    <row r="11" spans="2:30" x14ac:dyDescent="0.2">
      <c r="B11" s="57" t="s">
        <v>153</v>
      </c>
      <c r="C11" s="64" t="str">
        <f>IF('1_採択区分・推計パターン選択'!$D$5="パターン①",IF(C10="",0,C10/SUM($C$10:$D$10)),"")</f>
        <v/>
      </c>
      <c r="D11" s="64" t="str">
        <f>IF('1_採択区分・推計パターン選択'!$D$5="パターン①",IF(D10="",0,D10/SUM($C$10:$D$10)),"")</f>
        <v/>
      </c>
      <c r="Q11" s="172"/>
      <c r="R11" s="71" t="s">
        <v>179</v>
      </c>
      <c r="S11" s="73">
        <f>IF('1_採択区分・推計パターン選択'!$D$4='（計算用1）'!$Q$2,'2_主催・共催型'!H13,0)</f>
        <v>0</v>
      </c>
      <c r="U11" s="54" t="s">
        <v>245</v>
      </c>
      <c r="V11" s="55">
        <f t="shared" si="0"/>
        <v>0</v>
      </c>
      <c r="X11" s="54" t="s">
        <v>245</v>
      </c>
      <c r="Y11" s="77">
        <f t="shared" si="2"/>
        <v>0</v>
      </c>
      <c r="Z11" s="74" t="s">
        <v>371</v>
      </c>
      <c r="AA11" s="74" t="s">
        <v>381</v>
      </c>
      <c r="AC11" s="54" t="s">
        <v>386</v>
      </c>
      <c r="AD11" s="75">
        <f t="shared" si="1"/>
        <v>0</v>
      </c>
    </row>
    <row r="12" spans="2:30" x14ac:dyDescent="0.2">
      <c r="B12" s="57" t="s">
        <v>154</v>
      </c>
      <c r="C12" s="55" t="str">
        <f>IF('1_採択区分・推計パターン選択'!$D$5="パターン①",$F$7*C11,"")</f>
        <v/>
      </c>
      <c r="D12" s="55" t="str">
        <f>IF('1_採択区分・推計パターン選択'!$D$5="パターン①",$F$7*D11,"")</f>
        <v/>
      </c>
      <c r="Q12" s="172"/>
      <c r="R12" s="71" t="s">
        <v>180</v>
      </c>
      <c r="S12" s="73">
        <f>IF('1_採択区分・推計パターン選択'!$D$4='（計算用1）'!$Q$2,'2_主催・共催型'!H14,0)</f>
        <v>0</v>
      </c>
      <c r="U12" s="54" t="s">
        <v>246</v>
      </c>
      <c r="V12" s="55">
        <f t="shared" si="0"/>
        <v>0</v>
      </c>
      <c r="X12" s="54" t="s">
        <v>246</v>
      </c>
      <c r="Y12" s="77">
        <f t="shared" si="2"/>
        <v>0</v>
      </c>
      <c r="Z12" s="74" t="s">
        <v>371</v>
      </c>
      <c r="AA12" s="74" t="s">
        <v>445</v>
      </c>
    </row>
    <row r="13" spans="2:30" x14ac:dyDescent="0.2">
      <c r="Q13" s="172"/>
      <c r="R13" s="71" t="s">
        <v>181</v>
      </c>
      <c r="S13" s="73">
        <f>IF('1_採択区分・推計パターン選択'!$D$4='（計算用1）'!$Q$2,'2_主催・共催型'!H15,0)</f>
        <v>0</v>
      </c>
      <c r="U13" s="54" t="s">
        <v>249</v>
      </c>
      <c r="V13" s="55">
        <f>S25</f>
        <v>0</v>
      </c>
      <c r="X13" s="54" t="s">
        <v>247</v>
      </c>
      <c r="Y13" s="77">
        <f>IF(V14=0,0,V14)</f>
        <v>0</v>
      </c>
      <c r="Z13" s="74" t="s">
        <v>371</v>
      </c>
      <c r="AA13" s="74" t="s">
        <v>372</v>
      </c>
    </row>
    <row r="14" spans="2:30" x14ac:dyDescent="0.2">
      <c r="B14" t="s">
        <v>118</v>
      </c>
      <c r="Q14" s="173"/>
      <c r="R14" s="71" t="s">
        <v>182</v>
      </c>
      <c r="S14" s="73">
        <f>IF('1_採択区分・推計パターン選択'!$D$4='（計算用1）'!$Q$2,'2_主催・共催型'!H16,0)</f>
        <v>0</v>
      </c>
      <c r="U14" s="54" t="s">
        <v>247</v>
      </c>
      <c r="V14" s="55">
        <f>S13+S26</f>
        <v>0</v>
      </c>
    </row>
    <row r="15" spans="2:30" x14ac:dyDescent="0.2">
      <c r="B15" s="155" t="s">
        <v>2</v>
      </c>
      <c r="C15" s="155" t="s">
        <v>0</v>
      </c>
      <c r="D15" s="155"/>
      <c r="E15" s="155" t="s">
        <v>1</v>
      </c>
      <c r="F15" s="155"/>
      <c r="Q15" s="171" t="s">
        <v>352</v>
      </c>
      <c r="R15" s="71" t="s">
        <v>172</v>
      </c>
      <c r="S15" s="73">
        <f>IF('1_採択区分・推計パターン選択'!$D$4='（計算用1）'!$Q$2,'2_主催・共催型'!H19,0)</f>
        <v>0</v>
      </c>
      <c r="U15" s="54" t="s">
        <v>367</v>
      </c>
      <c r="V15" s="55">
        <f>S27</f>
        <v>0</v>
      </c>
    </row>
    <row r="16" spans="2:30" x14ac:dyDescent="0.2">
      <c r="B16" s="155"/>
      <c r="C16" s="12" t="s">
        <v>18</v>
      </c>
      <c r="D16" s="12" t="s">
        <v>19</v>
      </c>
      <c r="E16" s="12" t="s">
        <v>18</v>
      </c>
      <c r="F16" s="12" t="s">
        <v>19</v>
      </c>
      <c r="Q16" s="172"/>
      <c r="R16" s="71" t="s">
        <v>173</v>
      </c>
      <c r="S16" s="73">
        <f>IF('1_採択区分・推計パターン選択'!$D$4='（計算用1）'!$Q$2,'2_主催・共催型'!H20,0)</f>
        <v>0</v>
      </c>
    </row>
    <row r="17" spans="2:30" x14ac:dyDescent="0.2">
      <c r="B17" s="17" t="s">
        <v>16</v>
      </c>
      <c r="C17" s="56">
        <f>IF('1_採択区分・推計パターン選択'!$D$5="パターン①",'3_パターン①'!E28,0)</f>
        <v>0</v>
      </c>
      <c r="D17" s="56">
        <f>IF('1_採択区分・推計パターン選択'!$D$5="パターン①",'3_パターン①'!F28,0)</f>
        <v>0</v>
      </c>
      <c r="E17" s="56">
        <f>IF('1_採択区分・推計パターン選択'!$D$5="パターン①",'3_パターン①'!G28,0)</f>
        <v>0</v>
      </c>
      <c r="F17" s="56">
        <f>IF('1_採択区分・推計パターン選択'!$D$5="パターン①",'3_パターン①'!H28,0)</f>
        <v>0</v>
      </c>
      <c r="Q17" s="172"/>
      <c r="R17" s="71" t="s">
        <v>170</v>
      </c>
      <c r="S17" s="73">
        <f>IF('1_採択区分・推計パターン選択'!$D$4='（計算用1）'!$Q$2,'2_主催・共催型'!H21,0)</f>
        <v>0</v>
      </c>
    </row>
    <row r="18" spans="2:30" x14ac:dyDescent="0.2">
      <c r="B18" s="17" t="s">
        <v>11</v>
      </c>
      <c r="C18" s="56">
        <f>IF('1_採択区分・推計パターン選択'!$D$5="パターン①",'3_パターン①'!E29,0)</f>
        <v>0</v>
      </c>
      <c r="D18" s="56">
        <f>IF('1_採択区分・推計パターン選択'!$D$5="パターン①",'3_パターン①'!F29,0)</f>
        <v>0</v>
      </c>
      <c r="E18" s="56">
        <f>IF('1_採択区分・推計パターン選択'!$D$5="パターン①",'3_パターン①'!G29,0)</f>
        <v>0</v>
      </c>
      <c r="F18" s="56">
        <f>IF('1_採択区分・推計パターン選択'!$D$5="パターン①",'3_パターン①'!H29,0)</f>
        <v>0</v>
      </c>
      <c r="Q18" s="172"/>
      <c r="R18" s="71" t="s">
        <v>174</v>
      </c>
      <c r="S18" s="73">
        <f>IF('1_採択区分・推計パターン選択'!$D$4='（計算用1）'!$Q$2,'2_主催・共催型'!H22,0)</f>
        <v>0</v>
      </c>
    </row>
    <row r="19" spans="2:30" x14ac:dyDescent="0.2">
      <c r="B19" s="17" t="s">
        <v>12</v>
      </c>
      <c r="C19" s="56">
        <f>IF('1_採択区分・推計パターン選択'!$D$5="パターン①",'3_パターン①'!E30,0)</f>
        <v>0</v>
      </c>
      <c r="D19" s="56">
        <f>IF('1_採択区分・推計パターン選択'!$D$5="パターン①",'3_パターン①'!F30,0)</f>
        <v>0</v>
      </c>
      <c r="E19" s="56">
        <f>IF('1_採択区分・推計パターン選択'!$D$5="パターン①",'3_パターン①'!G30,0)</f>
        <v>0</v>
      </c>
      <c r="F19" s="56">
        <f>IF('1_採択区分・推計パターン選択'!$D$5="パターン①",'3_パターン①'!H30,0)</f>
        <v>0</v>
      </c>
      <c r="Q19" s="172"/>
      <c r="R19" s="71" t="s">
        <v>175</v>
      </c>
      <c r="S19" s="73">
        <f>IF('1_採択区分・推計パターン選択'!$D$4='（計算用1）'!$Q$2,'2_主催・共催型'!H23,0)</f>
        <v>0</v>
      </c>
    </row>
    <row r="20" spans="2:30" x14ac:dyDescent="0.2">
      <c r="B20" s="17" t="s">
        <v>13</v>
      </c>
      <c r="C20" s="56">
        <f>IF('1_採択区分・推計パターン選択'!$D$5="パターン①",'3_パターン①'!E31,0)</f>
        <v>0</v>
      </c>
      <c r="D20" s="56">
        <f>IF('1_採択区分・推計パターン選択'!$D$5="パターン①",'3_パターン①'!F31,0)</f>
        <v>0</v>
      </c>
      <c r="E20" s="56">
        <f>IF('1_採択区分・推計パターン選択'!$D$5="パターン①",'3_パターン①'!G31,0)</f>
        <v>0</v>
      </c>
      <c r="F20" s="56">
        <f>IF('1_採択区分・推計パターン選択'!$D$5="パターン①",'3_パターン①'!H31,0)</f>
        <v>0</v>
      </c>
      <c r="Q20" s="172"/>
      <c r="R20" s="71" t="s">
        <v>176</v>
      </c>
      <c r="S20" s="73">
        <f>IF('1_採択区分・推計パターン選択'!$D$4='（計算用1）'!$Q$2,'2_主催・共催型'!H24,0)</f>
        <v>0</v>
      </c>
    </row>
    <row r="21" spans="2:30" x14ac:dyDescent="0.2">
      <c r="B21" s="17" t="s">
        <v>17</v>
      </c>
      <c r="C21" s="56">
        <f>IF('1_採択区分・推計パターン選択'!$D$5="パターン①",'3_パターン①'!E32,0)</f>
        <v>0</v>
      </c>
      <c r="D21" s="56">
        <f>IF('1_採択区分・推計パターン選択'!$D$5="パターン①",'3_パターン①'!F32,0)</f>
        <v>0</v>
      </c>
      <c r="E21" s="56">
        <f>IF('1_採択区分・推計パターン選択'!$D$5="パターン①",'3_パターン①'!G32,0)</f>
        <v>0</v>
      </c>
      <c r="F21" s="56">
        <f>IF('1_採択区分・推計パターン選択'!$D$5="パターン①",'3_パターン①'!H32,0)</f>
        <v>0</v>
      </c>
      <c r="Q21" s="172"/>
      <c r="R21" s="71" t="s">
        <v>177</v>
      </c>
      <c r="S21" s="73">
        <f>IF('1_採択区分・推計パターン選択'!$D$4='（計算用1）'!$Q$2,'2_主催・共催型'!H25,0)</f>
        <v>0</v>
      </c>
    </row>
    <row r="22" spans="2:30" x14ac:dyDescent="0.2">
      <c r="B22" s="17" t="s">
        <v>14</v>
      </c>
      <c r="C22" s="56">
        <f>IF('1_採択区分・推計パターン選択'!$D$5="パターン①",'3_パターン①'!E33,0)</f>
        <v>0</v>
      </c>
      <c r="D22" s="56">
        <f>IF('1_採択区分・推計パターン選択'!$D$5="パターン①",'3_パターン①'!F33,0)</f>
        <v>0</v>
      </c>
      <c r="E22" s="56">
        <f>IF('1_採択区分・推計パターン選択'!$D$5="パターン①",'3_パターン①'!G33,0)</f>
        <v>0</v>
      </c>
      <c r="F22" s="56">
        <f>IF('1_採択区分・推計パターン選択'!$D$5="パターン①",'3_パターン①'!H33,0)</f>
        <v>0</v>
      </c>
      <c r="Q22" s="172"/>
      <c r="R22" s="71" t="s">
        <v>178</v>
      </c>
      <c r="S22" s="73">
        <f>IF('1_採択区分・推計パターン選択'!$D$4='（計算用1）'!$Q$2,'2_主催・共催型'!H26,0)</f>
        <v>0</v>
      </c>
    </row>
    <row r="23" spans="2:30" x14ac:dyDescent="0.2">
      <c r="B23" s="17" t="s">
        <v>15</v>
      </c>
      <c r="C23" s="56">
        <f>IF('1_採択区分・推計パターン選択'!$D$5="パターン①",'3_パターン①'!E34,0)</f>
        <v>0</v>
      </c>
      <c r="D23" s="56">
        <f>IF('1_採択区分・推計パターン選択'!$D$5="パターン①",'3_パターン①'!F34,0)</f>
        <v>0</v>
      </c>
      <c r="E23" s="56">
        <f>IF('1_採択区分・推計パターン選択'!$D$5="パターン①",'3_パターン①'!G34,0)</f>
        <v>0</v>
      </c>
      <c r="F23" s="56">
        <f>IF('1_採択区分・推計パターン選択'!$D$5="パターン①",'3_パターン①'!H34,0)</f>
        <v>0</v>
      </c>
      <c r="Q23" s="172"/>
      <c r="R23" s="71" t="s">
        <v>179</v>
      </c>
      <c r="S23" s="73">
        <f>IF('1_採択区分・推計パターン選択'!$D$4='（計算用1）'!$Q$2,'2_主催・共催型'!H27,0)</f>
        <v>0</v>
      </c>
    </row>
    <row r="24" spans="2:30" x14ac:dyDescent="0.2">
      <c r="Q24" s="172"/>
      <c r="R24" s="71" t="s">
        <v>180</v>
      </c>
      <c r="S24" s="73">
        <f>IF('1_採択区分・推計パターン選択'!$D$4='（計算用1）'!$Q$2,'2_主催・共催型'!H28,0)</f>
        <v>0</v>
      </c>
    </row>
    <row r="25" spans="2:30" x14ac:dyDescent="0.2">
      <c r="B25" s="179" t="s">
        <v>3</v>
      </c>
      <c r="C25" s="23" t="s">
        <v>18</v>
      </c>
      <c r="D25" s="23" t="s">
        <v>19</v>
      </c>
      <c r="F25" s="180" t="s">
        <v>3</v>
      </c>
      <c r="G25" s="181"/>
      <c r="I25" s="12" t="s">
        <v>151</v>
      </c>
      <c r="J25" s="23" t="s">
        <v>18</v>
      </c>
      <c r="K25" s="23" t="s">
        <v>19</v>
      </c>
      <c r="Q25" s="172"/>
      <c r="R25" s="71" t="s">
        <v>249</v>
      </c>
      <c r="S25" s="73">
        <f>IF('1_採択区分・推計パターン選択'!$D$4='（計算用1）'!$Q$2,'2_主催・共催型'!H29,0)</f>
        <v>0</v>
      </c>
    </row>
    <row r="26" spans="2:30" x14ac:dyDescent="0.2">
      <c r="B26" s="179"/>
      <c r="C26" s="55">
        <f>IF('1_採択区分・推計パターン選択'!$D$5="パターン①",IF('3_パターン①'!$E$5="","",VLOOKUP('3_パターン①'!$E$5,'（入込数）'!$B$6:$N$52,12,FALSE)),0)</f>
        <v>0</v>
      </c>
      <c r="D26" s="55">
        <f>IF('1_採択区分・推計パターン選択'!$D$5="パターン①",IF('3_パターン①'!$E$5="","",VLOOKUP('3_パターン①'!$E$5,'（入込数）'!$B$6:$N$52,13,FALSE)),0)</f>
        <v>0</v>
      </c>
      <c r="F26" s="17" t="s">
        <v>16</v>
      </c>
      <c r="G26" s="58">
        <f>IF('1_採択区分・推計パターン選択'!$D$5="パターン①",IF('3_パターン①'!$E$5="","",VLOOKUP('3_パターン①'!$E$5,'（消費内訳）'!$B$6:$R$53,11,FALSE)),0)</f>
        <v>0</v>
      </c>
      <c r="I26" s="17" t="s">
        <v>16</v>
      </c>
      <c r="J26" s="56" t="str">
        <f>IF('1_採択区分・推計パターン選択'!$D$5="パターン①",C$26*$G26/SUM($G$26:$G$32),"")</f>
        <v/>
      </c>
      <c r="K26" s="56" t="str">
        <f>IF('1_採択区分・推計パターン選択'!$D$5="パターン①",D$26*$G26/SUM($G$26:$G$32),"")</f>
        <v/>
      </c>
      <c r="Q26" s="172"/>
      <c r="R26" s="71" t="s">
        <v>181</v>
      </c>
      <c r="S26" s="73">
        <f>IF('1_採択区分・推計パターン選択'!$D$4='（計算用1）'!$Q$2,'2_主催・共催型'!H30,0)</f>
        <v>0</v>
      </c>
    </row>
    <row r="27" spans="2:30" x14ac:dyDescent="0.2">
      <c r="F27" s="17" t="s">
        <v>11</v>
      </c>
      <c r="G27" s="58">
        <f>IF('1_採択区分・推計パターン選択'!$D$5="パターン①",IF('3_パターン①'!$E$5="","",VLOOKUP('3_パターン①'!$E$5,'（消費内訳）'!$B$6:$R$53,12,FALSE)),0)</f>
        <v>0</v>
      </c>
      <c r="I27" s="17" t="s">
        <v>11</v>
      </c>
      <c r="J27" s="56" t="str">
        <f>IF('1_採択区分・推計パターン選択'!$D$5="パターン①",C$26*$G27/SUM($G$26:$G$32),"")</f>
        <v/>
      </c>
      <c r="K27" s="56" t="str">
        <f>IF('1_採択区分・推計パターン選択'!$D$5="パターン①",D$26*$G27/SUM($G$26:$G$32),"")</f>
        <v/>
      </c>
      <c r="Q27" s="173"/>
      <c r="R27" s="71" t="s">
        <v>183</v>
      </c>
      <c r="S27" s="73">
        <f>IF('1_採択区分・推計パターン選択'!$D$4='（計算用1）'!$Q$2,'2_主催・共催型'!H31,0)</f>
        <v>0</v>
      </c>
    </row>
    <row r="28" spans="2:30" x14ac:dyDescent="0.2">
      <c r="F28" s="17" t="s">
        <v>12</v>
      </c>
      <c r="G28" s="58">
        <f>IF('1_採択区分・推計パターン選択'!$D$5="パターン①",IF('3_パターン①'!$E$5="","",VLOOKUP('3_パターン①'!$E$5,'（消費内訳）'!$B$6:$R$53,13,FALSE)),0)</f>
        <v>0</v>
      </c>
      <c r="I28" s="17" t="s">
        <v>12</v>
      </c>
      <c r="J28" s="56" t="str">
        <f>IF('1_採択区分・推計パターン選択'!$D$5="パターン①",C$26*$G28/SUM($G$26:$G$32),"")</f>
        <v/>
      </c>
      <c r="K28" s="56" t="str">
        <f>IF('1_採択区分・推計パターン選択'!$D$5="パターン①",D$26*$G28/SUM($G$26:$G$32),"")</f>
        <v/>
      </c>
      <c r="Q28" s="67"/>
      <c r="R28" s="67"/>
      <c r="S28" s="67"/>
    </row>
    <row r="29" spans="2:30" x14ac:dyDescent="0.2">
      <c r="F29" s="17" t="s">
        <v>13</v>
      </c>
      <c r="G29" s="58">
        <f>IF('1_採択区分・推計パターン選択'!$D$5="パターン①",IF('3_パターン①'!$E$5="","",VLOOKUP('3_パターン①'!$E$5,'（消費内訳）'!$B$6:$R$53,14,FALSE)),0)</f>
        <v>0</v>
      </c>
      <c r="I29" s="17" t="s">
        <v>13</v>
      </c>
      <c r="J29" s="56" t="str">
        <f>IF('1_採択区分・推計パターン選択'!$D$5="パターン①",C$26*$G29/SUM($G$26:$G$32),"")</f>
        <v/>
      </c>
      <c r="K29" s="56" t="str">
        <f>IF('1_採択区分・推計パターン選択'!$D$5="パターン①",D$26*$G29/SUM($G$26:$G$32),"")</f>
        <v/>
      </c>
      <c r="Q29" s="66" t="s">
        <v>354</v>
      </c>
      <c r="R29" s="67"/>
      <c r="S29" s="67"/>
      <c r="U29" t="s">
        <v>388</v>
      </c>
      <c r="X29" s="74" t="s">
        <v>402</v>
      </c>
    </row>
    <row r="30" spans="2:30" x14ac:dyDescent="0.2">
      <c r="F30" s="17" t="s">
        <v>17</v>
      </c>
      <c r="G30" s="58">
        <f>IF('1_採択区分・推計パターン選択'!$D$5="パターン①",IF('3_パターン①'!$E$5="","",VLOOKUP('3_パターン①'!$E$5,'（消費内訳）'!$B$6:$R$53,15,FALSE)),0)</f>
        <v>0</v>
      </c>
      <c r="I30" s="17" t="s">
        <v>17</v>
      </c>
      <c r="J30" s="56" t="str">
        <f>IF('1_採択区分・推計パターン選択'!$D$5="パターン①",C$26*$G30/SUM($G$26:$G$32),"")</f>
        <v/>
      </c>
      <c r="K30" s="56" t="str">
        <f>IF('1_採択区分・推計パターン選択'!$D$5="パターン①",D$26*$G30/SUM($G$26:$G$32),"")</f>
        <v/>
      </c>
      <c r="Q30" s="171" t="s">
        <v>358</v>
      </c>
      <c r="R30" s="71" t="s">
        <v>184</v>
      </c>
      <c r="S30" s="69">
        <f>IF('1_採択区分・推計パターン選択'!$D$4='（計算用1）'!$Q$29,'2_イノベーション型'!H5,0)</f>
        <v>0</v>
      </c>
      <c r="U30" s="76" t="s">
        <v>389</v>
      </c>
      <c r="V30" s="59">
        <f>S30+S40+S50</f>
        <v>0</v>
      </c>
      <c r="W30" t="s">
        <v>393</v>
      </c>
      <c r="X30" s="76" t="s">
        <v>389</v>
      </c>
      <c r="Y30" s="77">
        <f>IF(V30=0,0,V30)</f>
        <v>0</v>
      </c>
      <c r="Z30" t="s">
        <v>394</v>
      </c>
      <c r="AA30" s="74" t="s">
        <v>372</v>
      </c>
      <c r="AB30" t="s">
        <v>393</v>
      </c>
      <c r="AC30" s="76" t="s">
        <v>377</v>
      </c>
      <c r="AD30" s="75">
        <f t="shared" ref="AD30:AD38" si="3">SUMIF($AA$30:$AA$37,AC30,$Y$30:$Y$37)</f>
        <v>0</v>
      </c>
    </row>
    <row r="31" spans="2:30" x14ac:dyDescent="0.2">
      <c r="F31" s="17" t="s">
        <v>14</v>
      </c>
      <c r="G31" s="58">
        <f>IF('1_採択区分・推計パターン選択'!$D$5="パターン①",IF('3_パターン①'!$E$5="","",VLOOKUP('3_パターン①'!$E$5,'（消費内訳）'!$B$6:$R$53,16,FALSE)),0)</f>
        <v>0</v>
      </c>
      <c r="I31" s="17" t="s">
        <v>14</v>
      </c>
      <c r="J31" s="56" t="str">
        <f>IF('1_採択区分・推計パターン選択'!$D$5="パターン①",C$26*$G31/SUM($G$26:$G$32),"")</f>
        <v/>
      </c>
      <c r="K31" s="56" t="str">
        <f>IF('1_採択区分・推計パターン選択'!$D$5="パターン①",D$26*$G31/SUM($G$26:$G$32),"")</f>
        <v/>
      </c>
      <c r="Q31" s="172"/>
      <c r="R31" s="71" t="s">
        <v>185</v>
      </c>
      <c r="S31" s="69">
        <f>IF('1_採択区分・推計パターン選択'!$D$4='（計算用1）'!$Q$29,'2_イノベーション型'!H6,0)</f>
        <v>0</v>
      </c>
      <c r="U31" s="76" t="s">
        <v>390</v>
      </c>
      <c r="V31" s="59">
        <f t="shared" ref="V31:V35" si="4">S31+S41+S51</f>
        <v>0</v>
      </c>
      <c r="X31" s="76" t="s">
        <v>390</v>
      </c>
      <c r="Y31" s="77">
        <f>IF(V31=0,0,V31+SUM($V$36,$V$38,$V$40)*V31/SUM($V$31:$V$35,$V$37))</f>
        <v>0</v>
      </c>
      <c r="Z31" t="s">
        <v>394</v>
      </c>
      <c r="AA31" s="74" t="s">
        <v>381</v>
      </c>
      <c r="AC31" s="76" t="s">
        <v>382</v>
      </c>
      <c r="AD31" s="75">
        <f t="shared" si="3"/>
        <v>0</v>
      </c>
    </row>
    <row r="32" spans="2:30" x14ac:dyDescent="0.2">
      <c r="F32" s="17" t="s">
        <v>15</v>
      </c>
      <c r="G32" s="58">
        <f>IF('1_採択区分・推計パターン選択'!$D$5="パターン①",IF('3_パターン①'!$E$5="","",VLOOKUP('3_パターン①'!$E$5,'（消費内訳）'!$B$6:$R$53,17,FALSE)),0)</f>
        <v>0</v>
      </c>
      <c r="I32" s="17" t="s">
        <v>15</v>
      </c>
      <c r="J32" s="56" t="str">
        <f>IF('1_採択区分・推計パターン選択'!$D$5="パターン①",C$26*$G32/SUM($G$26:$G$32),"")</f>
        <v/>
      </c>
      <c r="K32" s="56" t="str">
        <f>IF('1_採択区分・推計パターン選択'!$D$5="パターン①",D$26*$G32/SUM($G$26:$G$32),"")</f>
        <v/>
      </c>
      <c r="Q32" s="172"/>
      <c r="R32" s="71" t="s">
        <v>186</v>
      </c>
      <c r="S32" s="69">
        <f>IF('1_採択区分・推計パターン選択'!$D$4='（計算用1）'!$Q$29,'2_イノベーション型'!H7,0)</f>
        <v>0</v>
      </c>
      <c r="U32" s="76" t="s">
        <v>346</v>
      </c>
      <c r="V32" s="59">
        <f t="shared" si="4"/>
        <v>0</v>
      </c>
      <c r="X32" s="76" t="s">
        <v>346</v>
      </c>
      <c r="Y32" s="77">
        <f t="shared" ref="Y32:Y34" si="5">IF(V32=0,0,V32+SUM($V$36,$V$38,$V$40)*V32/SUM($V$31:$V$35,$V$37))</f>
        <v>0</v>
      </c>
      <c r="Z32" t="s">
        <v>394</v>
      </c>
      <c r="AA32" s="74" t="s">
        <v>374</v>
      </c>
      <c r="AC32" s="76" t="s">
        <v>373</v>
      </c>
      <c r="AD32" s="75">
        <f t="shared" si="3"/>
        <v>0</v>
      </c>
    </row>
    <row r="33" spans="2:30" x14ac:dyDescent="0.2">
      <c r="Q33" s="172"/>
      <c r="R33" s="71" t="s">
        <v>187</v>
      </c>
      <c r="S33" s="69">
        <f>IF('1_採択区分・推計パターン選択'!$D$4='（計算用1）'!$Q$29,'2_イノベーション型'!H8,0)</f>
        <v>0</v>
      </c>
      <c r="U33" s="76" t="s">
        <v>347</v>
      </c>
      <c r="V33" s="59">
        <f t="shared" si="4"/>
        <v>0</v>
      </c>
      <c r="X33" s="76" t="s">
        <v>347</v>
      </c>
      <c r="Y33" s="77">
        <f t="shared" si="5"/>
        <v>0</v>
      </c>
      <c r="Z33" t="s">
        <v>394</v>
      </c>
      <c r="AA33" s="74" t="s">
        <v>376</v>
      </c>
      <c r="AC33" s="76" t="s">
        <v>379</v>
      </c>
      <c r="AD33" s="75">
        <f t="shared" si="3"/>
        <v>0</v>
      </c>
    </row>
    <row r="34" spans="2:30" x14ac:dyDescent="0.2">
      <c r="B34" t="s">
        <v>156</v>
      </c>
      <c r="Q34" s="172"/>
      <c r="R34" s="71" t="s">
        <v>188</v>
      </c>
      <c r="S34" s="69">
        <f>IF('1_採択区分・推計パターン選択'!$D$4='（計算用1）'!$Q$29,'2_イノベーション型'!H9,0)</f>
        <v>0</v>
      </c>
      <c r="U34" s="76" t="s">
        <v>391</v>
      </c>
      <c r="V34" s="59">
        <f t="shared" si="4"/>
        <v>0</v>
      </c>
      <c r="X34" s="76" t="s">
        <v>391</v>
      </c>
      <c r="Y34" s="77">
        <f t="shared" si="5"/>
        <v>0</v>
      </c>
      <c r="Z34" t="s">
        <v>394</v>
      </c>
      <c r="AA34" s="74" t="s">
        <v>374</v>
      </c>
      <c r="AC34" s="76" t="s">
        <v>445</v>
      </c>
      <c r="AD34" s="75">
        <f t="shared" si="3"/>
        <v>0</v>
      </c>
    </row>
    <row r="35" spans="2:30" x14ac:dyDescent="0.2">
      <c r="B35" s="155" t="s">
        <v>2</v>
      </c>
      <c r="C35" s="155" t="s">
        <v>0</v>
      </c>
      <c r="D35" s="155"/>
      <c r="E35" s="155" t="s">
        <v>1</v>
      </c>
      <c r="F35" s="155"/>
      <c r="G35" s="182" t="s">
        <v>157</v>
      </c>
      <c r="Q35" s="172"/>
      <c r="R35" s="71" t="s">
        <v>189</v>
      </c>
      <c r="S35" s="69">
        <f>IF('1_採択区分・推計パターン選択'!$D$4='（計算用1）'!$Q$29,'2_イノベーション型'!H10,0)</f>
        <v>0</v>
      </c>
      <c r="U35" s="76" t="s">
        <v>348</v>
      </c>
      <c r="V35" s="59">
        <f t="shared" si="4"/>
        <v>0</v>
      </c>
      <c r="X35" s="76" t="s">
        <v>348</v>
      </c>
      <c r="Y35" s="77">
        <f>IF(V35=0,0,V35+SUM($V$36,$V$38,$V$40)*V35/SUM($V$31:$V$35,$V$37))</f>
        <v>0</v>
      </c>
      <c r="Z35" t="s">
        <v>394</v>
      </c>
      <c r="AA35" s="74" t="s">
        <v>374</v>
      </c>
      <c r="AC35" s="76" t="s">
        <v>375</v>
      </c>
      <c r="AD35" s="75">
        <f t="shared" si="3"/>
        <v>0</v>
      </c>
    </row>
    <row r="36" spans="2:30" x14ac:dyDescent="0.2">
      <c r="B36" s="155"/>
      <c r="C36" s="12" t="s">
        <v>18</v>
      </c>
      <c r="D36" s="12" t="s">
        <v>19</v>
      </c>
      <c r="E36" s="12" t="s">
        <v>18</v>
      </c>
      <c r="F36" s="12" t="s">
        <v>19</v>
      </c>
      <c r="G36" s="182"/>
      <c r="Q36" s="172"/>
      <c r="R36" s="71" t="s">
        <v>190</v>
      </c>
      <c r="S36" s="69">
        <f>IF('1_採択区分・推計パターン選択'!$D$4='（計算用1）'!$Q$29,'2_イノベーション型'!H11,0)</f>
        <v>0</v>
      </c>
      <c r="U36" s="76" t="s">
        <v>343</v>
      </c>
      <c r="V36" s="59">
        <f>S46+S56</f>
        <v>0</v>
      </c>
      <c r="X36" s="76" t="s">
        <v>191</v>
      </c>
      <c r="Y36" s="77">
        <f>IF(V37=0,0,V37+SUM($V$36,$V$38,$V$40)*V37/SUM($V$31:$V$35,$V$37))</f>
        <v>0</v>
      </c>
      <c r="Z36" t="s">
        <v>394</v>
      </c>
      <c r="AA36" s="74" t="s">
        <v>445</v>
      </c>
      <c r="AC36" s="76" t="s">
        <v>380</v>
      </c>
      <c r="AD36" s="75">
        <f t="shared" si="3"/>
        <v>0</v>
      </c>
    </row>
    <row r="37" spans="2:30" x14ac:dyDescent="0.2">
      <c r="B37" s="17" t="s">
        <v>16</v>
      </c>
      <c r="C37" s="56">
        <f t="shared" ref="C37:F43" si="6">B$7*C17</f>
        <v>0</v>
      </c>
      <c r="D37" s="56">
        <f t="shared" si="6"/>
        <v>0</v>
      </c>
      <c r="E37" s="56">
        <f t="shared" si="6"/>
        <v>0</v>
      </c>
      <c r="F37" s="56">
        <f t="shared" si="6"/>
        <v>0</v>
      </c>
      <c r="G37" s="59">
        <f>SUM(C37:F37)</f>
        <v>0</v>
      </c>
      <c r="Q37" s="172"/>
      <c r="R37" s="71" t="s">
        <v>191</v>
      </c>
      <c r="S37" s="69">
        <f>IF('1_採択区分・推計パターン選択'!$D$4='（計算用1）'!$Q$29,'2_イノベーション型'!H12,0)</f>
        <v>0</v>
      </c>
      <c r="U37" s="76" t="s">
        <v>344</v>
      </c>
      <c r="V37" s="59">
        <f>S37+S47+S57</f>
        <v>0</v>
      </c>
      <c r="X37" s="76" t="s">
        <v>401</v>
      </c>
      <c r="Y37" s="77">
        <f>IF(V39=0,0,V39)</f>
        <v>0</v>
      </c>
      <c r="Z37" t="s">
        <v>394</v>
      </c>
      <c r="AA37" s="74" t="s">
        <v>387</v>
      </c>
      <c r="AC37" s="76" t="s">
        <v>387</v>
      </c>
      <c r="AD37" s="75">
        <f t="shared" si="3"/>
        <v>0</v>
      </c>
    </row>
    <row r="38" spans="2:30" x14ac:dyDescent="0.2">
      <c r="B38" s="17" t="s">
        <v>11</v>
      </c>
      <c r="C38" s="56">
        <f t="shared" si="6"/>
        <v>0</v>
      </c>
      <c r="D38" s="56">
        <f t="shared" si="6"/>
        <v>0</v>
      </c>
      <c r="E38" s="56">
        <f t="shared" si="6"/>
        <v>0</v>
      </c>
      <c r="F38" s="56">
        <f t="shared" si="6"/>
        <v>0</v>
      </c>
      <c r="G38" s="59">
        <f t="shared" ref="G38:G43" si="7">SUM(C38:F38)</f>
        <v>0</v>
      </c>
      <c r="Q38" s="173"/>
      <c r="R38" s="71" t="s">
        <v>192</v>
      </c>
      <c r="S38" s="69">
        <f>IF('1_採択区分・推計パターン選択'!$D$4='（計算用1）'!$Q$29,'2_イノベーション型'!H13,0)</f>
        <v>0</v>
      </c>
      <c r="U38" s="76" t="s">
        <v>392</v>
      </c>
      <c r="V38" s="59">
        <f>S48+S58</f>
        <v>0</v>
      </c>
      <c r="AC38" s="54" t="s">
        <v>386</v>
      </c>
      <c r="AD38" s="75">
        <f t="shared" si="3"/>
        <v>0</v>
      </c>
    </row>
    <row r="39" spans="2:30" x14ac:dyDescent="0.2">
      <c r="B39" s="17" t="s">
        <v>12</v>
      </c>
      <c r="C39" s="56">
        <f t="shared" si="6"/>
        <v>0</v>
      </c>
      <c r="D39" s="56">
        <f t="shared" si="6"/>
        <v>0</v>
      </c>
      <c r="E39" s="56">
        <f t="shared" si="6"/>
        <v>0</v>
      </c>
      <c r="F39" s="56">
        <f t="shared" si="6"/>
        <v>0</v>
      </c>
      <c r="G39" s="59">
        <f t="shared" si="7"/>
        <v>0</v>
      </c>
      <c r="Q39" s="174" t="s">
        <v>360</v>
      </c>
      <c r="R39" s="175"/>
      <c r="S39" s="69">
        <f>IF('1_採択区分・推計パターン選択'!$D$4='（計算用1）'!$Q$29,'2_イノベーション型'!H14,0)</f>
        <v>0</v>
      </c>
      <c r="U39" s="76" t="s">
        <v>401</v>
      </c>
      <c r="V39" s="59">
        <f>S49</f>
        <v>0</v>
      </c>
    </row>
    <row r="40" spans="2:30" x14ac:dyDescent="0.2">
      <c r="B40" s="17" t="s">
        <v>13</v>
      </c>
      <c r="C40" s="56">
        <f t="shared" si="6"/>
        <v>0</v>
      </c>
      <c r="D40" s="56">
        <f t="shared" si="6"/>
        <v>0</v>
      </c>
      <c r="E40" s="56">
        <f t="shared" si="6"/>
        <v>0</v>
      </c>
      <c r="F40" s="56">
        <f t="shared" si="6"/>
        <v>0</v>
      </c>
      <c r="G40" s="59">
        <f t="shared" si="7"/>
        <v>0</v>
      </c>
      <c r="Q40" s="176" t="s">
        <v>359</v>
      </c>
      <c r="R40" s="71" t="s">
        <v>193</v>
      </c>
      <c r="S40" s="69">
        <f>IF('1_採択区分・推計パターン選択'!$D$4='（計算用1）'!$Q$29,'2_イノベーション型'!H17,0)</f>
        <v>0</v>
      </c>
      <c r="U40" s="76" t="s">
        <v>360</v>
      </c>
      <c r="V40" s="59">
        <f>S39</f>
        <v>0</v>
      </c>
    </row>
    <row r="41" spans="2:30" x14ac:dyDescent="0.2">
      <c r="B41" s="17" t="s">
        <v>17</v>
      </c>
      <c r="C41" s="56">
        <f t="shared" si="6"/>
        <v>0</v>
      </c>
      <c r="D41" s="56">
        <f t="shared" si="6"/>
        <v>0</v>
      </c>
      <c r="E41" s="56">
        <f t="shared" si="6"/>
        <v>0</v>
      </c>
      <c r="F41" s="56">
        <f t="shared" si="6"/>
        <v>0</v>
      </c>
      <c r="G41" s="59">
        <f t="shared" si="7"/>
        <v>0</v>
      </c>
      <c r="Q41" s="177"/>
      <c r="R41" s="71" t="s">
        <v>194</v>
      </c>
      <c r="S41" s="69">
        <f>IF('1_採択区分・推計パターン選択'!$D$4='（計算用1）'!$Q$29,'2_イノベーション型'!H18,0)</f>
        <v>0</v>
      </c>
    </row>
    <row r="42" spans="2:30" x14ac:dyDescent="0.2">
      <c r="B42" s="17" t="s">
        <v>14</v>
      </c>
      <c r="C42" s="56">
        <f t="shared" si="6"/>
        <v>0</v>
      </c>
      <c r="D42" s="56">
        <f t="shared" si="6"/>
        <v>0</v>
      </c>
      <c r="E42" s="56">
        <f t="shared" si="6"/>
        <v>0</v>
      </c>
      <c r="F42" s="56">
        <f t="shared" si="6"/>
        <v>0</v>
      </c>
      <c r="G42" s="59">
        <f t="shared" si="7"/>
        <v>0</v>
      </c>
      <c r="Q42" s="177"/>
      <c r="R42" s="71" t="s">
        <v>195</v>
      </c>
      <c r="S42" s="69">
        <f>IF('1_採択区分・推計パターン選択'!$D$4='（計算用1）'!$Q$29,'2_イノベーション型'!H19,0)</f>
        <v>0</v>
      </c>
    </row>
    <row r="43" spans="2:30" x14ac:dyDescent="0.2">
      <c r="B43" s="17" t="s">
        <v>15</v>
      </c>
      <c r="C43" s="56">
        <f t="shared" si="6"/>
        <v>0</v>
      </c>
      <c r="D43" s="56">
        <f t="shared" si="6"/>
        <v>0</v>
      </c>
      <c r="E43" s="56">
        <f t="shared" si="6"/>
        <v>0</v>
      </c>
      <c r="F43" s="56">
        <f t="shared" si="6"/>
        <v>0</v>
      </c>
      <c r="G43" s="59">
        <f t="shared" si="7"/>
        <v>0</v>
      </c>
      <c r="Q43" s="177"/>
      <c r="R43" s="71" t="s">
        <v>196</v>
      </c>
      <c r="S43" s="69">
        <f>IF('1_採択区分・推計パターン選択'!$D$4='（計算用1）'!$Q$29,'2_イノベーション型'!H20,0)</f>
        <v>0</v>
      </c>
    </row>
    <row r="44" spans="2:30" x14ac:dyDescent="0.2">
      <c r="Q44" s="177"/>
      <c r="R44" s="71" t="s">
        <v>197</v>
      </c>
      <c r="S44" s="69">
        <f>IF('1_採択区分・推計パターン選択'!$D$4='（計算用1）'!$Q$29,'2_イノベーション型'!H21,0)</f>
        <v>0</v>
      </c>
    </row>
    <row r="45" spans="2:30" x14ac:dyDescent="0.2">
      <c r="B45" s="12" t="s">
        <v>151</v>
      </c>
      <c r="C45" s="23" t="s">
        <v>18</v>
      </c>
      <c r="D45" s="23" t="s">
        <v>19</v>
      </c>
      <c r="E45" s="60" t="s">
        <v>157</v>
      </c>
      <c r="Q45" s="177"/>
      <c r="R45" s="71" t="s">
        <v>198</v>
      </c>
      <c r="S45" s="69">
        <f>IF('1_採択区分・推計パターン選択'!$D$4='（計算用1）'!$Q$29,'2_イノベーション型'!H22,0)</f>
        <v>0</v>
      </c>
    </row>
    <row r="46" spans="2:30" x14ac:dyDescent="0.2">
      <c r="B46" s="17" t="s">
        <v>16</v>
      </c>
      <c r="C46" s="56" t="str">
        <f>IF('1_採択区分・推計パターン選択'!$D$5="パターン①",C$12*J26,"")</f>
        <v/>
      </c>
      <c r="D46" s="56" t="str">
        <f>IF('1_採択区分・推計パターン選択'!$D$5="パターン①",D$12*K26,"")</f>
        <v/>
      </c>
      <c r="E46" s="59">
        <f>SUM(C46:D46)</f>
        <v>0</v>
      </c>
      <c r="Q46" s="177"/>
      <c r="R46" s="71" t="s">
        <v>199</v>
      </c>
      <c r="S46" s="69">
        <f>IF('1_採択区分・推計パターン選択'!$D$4='（計算用1）'!$Q$29,'2_イノベーション型'!H23,0)</f>
        <v>0</v>
      </c>
    </row>
    <row r="47" spans="2:30" x14ac:dyDescent="0.2">
      <c r="B47" s="17" t="s">
        <v>11</v>
      </c>
      <c r="C47" s="56" t="str">
        <f>IF('1_採択区分・推計パターン選択'!$D$5="パターン①",C$12*J27,"")</f>
        <v/>
      </c>
      <c r="D47" s="56" t="str">
        <f>IF('1_採択区分・推計パターン選択'!$D$5="パターン①",D$12*K27,"")</f>
        <v/>
      </c>
      <c r="E47" s="59">
        <f t="shared" ref="E47:E52" si="8">SUM(C47:D47)</f>
        <v>0</v>
      </c>
      <c r="Q47" s="177"/>
      <c r="R47" s="71" t="s">
        <v>200</v>
      </c>
      <c r="S47" s="69">
        <f>IF('1_採択区分・推計パターン選択'!$D$4='（計算用1）'!$Q$29,'2_イノベーション型'!H24,0)</f>
        <v>0</v>
      </c>
    </row>
    <row r="48" spans="2:30" x14ac:dyDescent="0.2">
      <c r="B48" s="17" t="s">
        <v>12</v>
      </c>
      <c r="C48" s="56" t="str">
        <f>IF('1_採択区分・推計パターン選択'!$D$5="パターン①",C$12*J28,"")</f>
        <v/>
      </c>
      <c r="D48" s="56" t="str">
        <f>IF('1_採択区分・推計パターン選択'!$D$5="パターン①",D$12*K28,"")</f>
        <v/>
      </c>
      <c r="E48" s="59">
        <f t="shared" si="8"/>
        <v>0</v>
      </c>
      <c r="Q48" s="177"/>
      <c r="R48" s="71" t="s">
        <v>201</v>
      </c>
      <c r="S48" s="69">
        <f>IF('1_採択区分・推計パターン選択'!$D$4='（計算用1）'!$Q$29,'2_イノベーション型'!H25,0)</f>
        <v>0</v>
      </c>
    </row>
    <row r="49" spans="2:30" x14ac:dyDescent="0.2">
      <c r="B49" s="17" t="s">
        <v>13</v>
      </c>
      <c r="C49" s="56" t="str">
        <f>IF('1_採択区分・推計パターン選択'!$D$5="パターン①",C$12*J29,"")</f>
        <v/>
      </c>
      <c r="D49" s="56" t="str">
        <f>IF('1_採択区分・推計パターン選択'!$D$5="パターン①",D$12*K29,"")</f>
        <v/>
      </c>
      <c r="E49" s="59">
        <f t="shared" si="8"/>
        <v>0</v>
      </c>
      <c r="Q49" s="178"/>
      <c r="R49" s="71" t="s">
        <v>202</v>
      </c>
      <c r="S49" s="69">
        <f>IF('1_採択区分・推計パターン選択'!$D$4='（計算用1）'!$Q$29,'2_イノベーション型'!H26,0)</f>
        <v>0</v>
      </c>
    </row>
    <row r="50" spans="2:30" x14ac:dyDescent="0.2">
      <c r="B50" s="17" t="s">
        <v>17</v>
      </c>
      <c r="C50" s="56" t="str">
        <f>IF('1_採択区分・推計パターン選択'!$D$5="パターン①",C$12*J30,"")</f>
        <v/>
      </c>
      <c r="D50" s="56" t="str">
        <f>IF('1_採択区分・推計パターン選択'!$D$5="パターン①",D$12*K30,"")</f>
        <v/>
      </c>
      <c r="E50" s="59">
        <f t="shared" si="8"/>
        <v>0</v>
      </c>
      <c r="Q50" s="171" t="s">
        <v>361</v>
      </c>
      <c r="R50" s="71" t="s">
        <v>193</v>
      </c>
      <c r="S50" s="69">
        <f>IF('1_採択区分・推計パターン選択'!$D$4='（計算用1）'!$Q$29,'2_イノベーション型'!H29,0)</f>
        <v>0</v>
      </c>
    </row>
    <row r="51" spans="2:30" x14ac:dyDescent="0.2">
      <c r="B51" s="17" t="s">
        <v>14</v>
      </c>
      <c r="C51" s="56" t="str">
        <f>IF('1_採択区分・推計パターン選択'!$D$5="パターン①",C$12*J31,"")</f>
        <v/>
      </c>
      <c r="D51" s="56" t="str">
        <f>IF('1_採択区分・推計パターン選択'!$D$5="パターン①",D$12*K31,"")</f>
        <v/>
      </c>
      <c r="E51" s="59">
        <f t="shared" si="8"/>
        <v>0</v>
      </c>
      <c r="Q51" s="172"/>
      <c r="R51" s="71" t="s">
        <v>194</v>
      </c>
      <c r="S51" s="69">
        <f>IF('1_採択区分・推計パターン選択'!$D$4='（計算用1）'!$Q$29,'2_イノベーション型'!H30,0)</f>
        <v>0</v>
      </c>
    </row>
    <row r="52" spans="2:30" x14ac:dyDescent="0.2">
      <c r="B52" s="17" t="s">
        <v>15</v>
      </c>
      <c r="C52" s="56" t="str">
        <f>IF('1_採択区分・推計パターン選択'!$D$5="パターン①",C$12*J32,"")</f>
        <v/>
      </c>
      <c r="D52" s="56" t="str">
        <f>IF('1_採択区分・推計パターン選択'!$D$5="パターン①",D$12*K32,"")</f>
        <v/>
      </c>
      <c r="E52" s="59">
        <f t="shared" si="8"/>
        <v>0</v>
      </c>
      <c r="Q52" s="172"/>
      <c r="R52" s="71" t="s">
        <v>195</v>
      </c>
      <c r="S52" s="69">
        <f>IF('1_採択区分・推計パターン選択'!$D$4='（計算用1）'!$Q$29,'2_イノベーション型'!H31,0)</f>
        <v>0</v>
      </c>
    </row>
    <row r="53" spans="2:30" x14ac:dyDescent="0.2">
      <c r="Q53" s="172"/>
      <c r="R53" s="71" t="s">
        <v>196</v>
      </c>
      <c r="S53" s="69">
        <f>IF('1_採択区分・推計パターン選択'!$D$4='（計算用1）'!$Q$29,'2_イノベーション型'!H32,0)</f>
        <v>0</v>
      </c>
    </row>
    <row r="54" spans="2:30" x14ac:dyDescent="0.2">
      <c r="B54" s="60"/>
      <c r="C54" s="61" t="s">
        <v>158</v>
      </c>
      <c r="Q54" s="172"/>
      <c r="R54" s="71" t="s">
        <v>197</v>
      </c>
      <c r="S54" s="69">
        <f>IF('1_採択区分・推計パターン選択'!$D$4='（計算用1）'!$Q$29,'2_イノベーション型'!H33,0)</f>
        <v>0</v>
      </c>
    </row>
    <row r="55" spans="2:30" x14ac:dyDescent="0.2">
      <c r="B55" s="17" t="s">
        <v>16</v>
      </c>
      <c r="C55" s="59">
        <f>G37+E46</f>
        <v>0</v>
      </c>
      <c r="Q55" s="172"/>
      <c r="R55" s="71" t="s">
        <v>198</v>
      </c>
      <c r="S55" s="69">
        <f>IF('1_採択区分・推計パターン選択'!$D$4='（計算用1）'!$Q$29,'2_イノベーション型'!H34,0)</f>
        <v>0</v>
      </c>
    </row>
    <row r="56" spans="2:30" x14ac:dyDescent="0.2">
      <c r="B56" s="17" t="s">
        <v>11</v>
      </c>
      <c r="C56" s="59">
        <f t="shared" ref="C56:C61" si="9">G38+E47</f>
        <v>0</v>
      </c>
      <c r="Q56" s="172"/>
      <c r="R56" s="71" t="s">
        <v>199</v>
      </c>
      <c r="S56" s="69">
        <f>IF('1_採択区分・推計パターン選択'!$D$4='（計算用1）'!$Q$29,'2_イノベーション型'!H35,0)</f>
        <v>0</v>
      </c>
    </row>
    <row r="57" spans="2:30" x14ac:dyDescent="0.2">
      <c r="B57" s="17" t="s">
        <v>12</v>
      </c>
      <c r="C57" s="59">
        <f t="shared" si="9"/>
        <v>0</v>
      </c>
      <c r="Q57" s="172"/>
      <c r="R57" s="71" t="s">
        <v>200</v>
      </c>
      <c r="S57" s="69">
        <f>IF('1_採択区分・推計パターン選択'!$D$4='（計算用1）'!$Q$29,'2_イノベーション型'!H36,0)</f>
        <v>0</v>
      </c>
    </row>
    <row r="58" spans="2:30" x14ac:dyDescent="0.2">
      <c r="B58" s="17" t="s">
        <v>13</v>
      </c>
      <c r="C58" s="59">
        <f t="shared" si="9"/>
        <v>0</v>
      </c>
      <c r="Q58" s="173"/>
      <c r="R58" s="71" t="s">
        <v>201</v>
      </c>
      <c r="S58" s="69">
        <f>IF('1_採択区分・推計パターン選択'!$D$4='（計算用1）'!$Q$29,'2_イノベーション型'!H37,0)</f>
        <v>0</v>
      </c>
    </row>
    <row r="59" spans="2:30" x14ac:dyDescent="0.2">
      <c r="B59" s="17" t="s">
        <v>17</v>
      </c>
      <c r="C59" s="59">
        <f t="shared" si="9"/>
        <v>0</v>
      </c>
      <c r="Q59" s="67"/>
      <c r="R59" s="67"/>
      <c r="S59" s="67"/>
    </row>
    <row r="60" spans="2:30" x14ac:dyDescent="0.2">
      <c r="B60" s="17" t="s">
        <v>14</v>
      </c>
      <c r="C60" s="59">
        <f t="shared" si="9"/>
        <v>0</v>
      </c>
      <c r="Q60" s="66" t="s">
        <v>355</v>
      </c>
      <c r="R60" s="67"/>
      <c r="S60" s="67"/>
      <c r="X60" t="s">
        <v>396</v>
      </c>
    </row>
    <row r="61" spans="2:30" x14ac:dyDescent="0.2">
      <c r="B61" s="17" t="s">
        <v>15</v>
      </c>
      <c r="C61" s="59">
        <f t="shared" si="9"/>
        <v>0</v>
      </c>
      <c r="Q61" s="171" t="s">
        <v>358</v>
      </c>
      <c r="R61" s="71" t="s">
        <v>203</v>
      </c>
      <c r="S61" s="69">
        <f>IF('1_採択区分・推計パターン選択'!$D$4='（計算用1）'!$Q$60,'2_文化資源'!H5,0)</f>
        <v>0</v>
      </c>
      <c r="U61" s="54" t="s">
        <v>273</v>
      </c>
      <c r="V61" s="59">
        <f>S61+S78</f>
        <v>0</v>
      </c>
      <c r="W61" t="s">
        <v>393</v>
      </c>
      <c r="X61" s="54" t="s">
        <v>273</v>
      </c>
      <c r="Y61" s="77">
        <f>IF(V61=0,0,V61+SUM($V$77:$V$79)*V61/SUM($V$61:$V$76))</f>
        <v>0</v>
      </c>
      <c r="Z61" t="s">
        <v>394</v>
      </c>
      <c r="AA61" s="74" t="s">
        <v>374</v>
      </c>
      <c r="AB61" t="s">
        <v>393</v>
      </c>
      <c r="AC61" s="76" t="s">
        <v>377</v>
      </c>
      <c r="AD61" s="75">
        <f>SUMIF($AA$61:$AA$76,AC61,$Y$61:$Y$76)</f>
        <v>0</v>
      </c>
    </row>
    <row r="62" spans="2:30" x14ac:dyDescent="0.2">
      <c r="Q62" s="172"/>
      <c r="R62" s="71" t="s">
        <v>204</v>
      </c>
      <c r="S62" s="69">
        <f>IF('1_採択区分・推計パターン選択'!$D$4='（計算用1）'!$Q$60,'2_文化資源'!H6,0)</f>
        <v>0</v>
      </c>
      <c r="U62" s="54" t="s">
        <v>274</v>
      </c>
      <c r="V62" s="59">
        <f t="shared" ref="V62:V74" si="10">S62+S79</f>
        <v>0</v>
      </c>
      <c r="X62" s="54" t="s">
        <v>274</v>
      </c>
      <c r="Y62" s="77">
        <f t="shared" ref="Y62:Y76" si="11">IF(V62=0,0,V62+SUM($V$77:$V$79)*V62/SUM($V$61:$V$76))</f>
        <v>0</v>
      </c>
      <c r="Z62" t="s">
        <v>394</v>
      </c>
      <c r="AA62" s="74" t="s">
        <v>374</v>
      </c>
      <c r="AC62" s="76" t="s">
        <v>382</v>
      </c>
      <c r="AD62" s="75">
        <f t="shared" ref="AD62:AD69" si="12">SUMIF($AA$61:$AA$76,AC62,$Y$61:$Y$76)</f>
        <v>0</v>
      </c>
    </row>
    <row r="63" spans="2:30" x14ac:dyDescent="0.2">
      <c r="B63" s="1" t="s">
        <v>111</v>
      </c>
      <c r="Q63" s="172"/>
      <c r="R63" s="71" t="s">
        <v>205</v>
      </c>
      <c r="S63" s="69">
        <f>IF('1_採択区分・推計パターン選択'!$D$4='（計算用1）'!$Q$60,'2_文化資源'!H7,0)</f>
        <v>0</v>
      </c>
      <c r="U63" s="54" t="s">
        <v>275</v>
      </c>
      <c r="V63" s="59">
        <f t="shared" si="10"/>
        <v>0</v>
      </c>
      <c r="X63" s="54" t="s">
        <v>275</v>
      </c>
      <c r="Y63" s="77">
        <f t="shared" si="11"/>
        <v>0</v>
      </c>
      <c r="Z63" t="s">
        <v>394</v>
      </c>
      <c r="AA63" s="74" t="s">
        <v>374</v>
      </c>
      <c r="AC63" s="76" t="s">
        <v>373</v>
      </c>
      <c r="AD63" s="75">
        <f t="shared" si="12"/>
        <v>0</v>
      </c>
    </row>
    <row r="64" spans="2:30" x14ac:dyDescent="0.2">
      <c r="B64" t="s">
        <v>117</v>
      </c>
      <c r="Q64" s="172"/>
      <c r="R64" s="71" t="s">
        <v>206</v>
      </c>
      <c r="S64" s="69">
        <f>IF('1_採択区分・推計パターン選択'!$D$4='（計算用1）'!$Q$60,'2_文化資源'!H8,0)</f>
        <v>0</v>
      </c>
      <c r="U64" s="54" t="s">
        <v>276</v>
      </c>
      <c r="V64" s="59">
        <f t="shared" si="10"/>
        <v>0</v>
      </c>
      <c r="X64" s="54" t="s">
        <v>276</v>
      </c>
      <c r="Y64" s="77">
        <f t="shared" si="11"/>
        <v>0</v>
      </c>
      <c r="Z64" t="s">
        <v>394</v>
      </c>
      <c r="AA64" s="74" t="s">
        <v>374</v>
      </c>
      <c r="AC64" s="76" t="s">
        <v>379</v>
      </c>
      <c r="AD64" s="75">
        <f t="shared" si="12"/>
        <v>0</v>
      </c>
    </row>
    <row r="65" spans="2:30" x14ac:dyDescent="0.2">
      <c r="B65" s="155" t="s">
        <v>2</v>
      </c>
      <c r="C65" s="155"/>
      <c r="D65" s="155"/>
      <c r="E65" s="155"/>
      <c r="F65" s="179" t="s">
        <v>3</v>
      </c>
      <c r="Q65" s="172"/>
      <c r="R65" s="71" t="s">
        <v>207</v>
      </c>
      <c r="S65" s="69">
        <f>IF('1_採択区分・推計パターン選択'!$D$4='（計算用1）'!$Q$60,'2_文化資源'!H9,0)</f>
        <v>0</v>
      </c>
      <c r="U65" s="54" t="s">
        <v>277</v>
      </c>
      <c r="V65" s="59">
        <f t="shared" si="10"/>
        <v>0</v>
      </c>
      <c r="X65" s="54" t="s">
        <v>277</v>
      </c>
      <c r="Y65" s="77">
        <f t="shared" si="11"/>
        <v>0</v>
      </c>
      <c r="Z65" t="s">
        <v>394</v>
      </c>
      <c r="AA65" s="74" t="s">
        <v>385</v>
      </c>
      <c r="AC65" s="76" t="s">
        <v>445</v>
      </c>
      <c r="AD65" s="75">
        <f t="shared" si="12"/>
        <v>0</v>
      </c>
    </row>
    <row r="66" spans="2:30" x14ac:dyDescent="0.2">
      <c r="B66" s="155" t="s">
        <v>0</v>
      </c>
      <c r="C66" s="155"/>
      <c r="D66" s="155" t="s">
        <v>1</v>
      </c>
      <c r="E66" s="155"/>
      <c r="F66" s="179"/>
      <c r="Q66" s="172"/>
      <c r="R66" s="71" t="s">
        <v>208</v>
      </c>
      <c r="S66" s="69">
        <f>IF('1_採択区分・推計パターン選択'!$D$4='（計算用1）'!$Q$60,'2_文化資源'!H10,0)</f>
        <v>0</v>
      </c>
      <c r="U66" s="54" t="s">
        <v>278</v>
      </c>
      <c r="V66" s="59">
        <f t="shared" si="10"/>
        <v>0</v>
      </c>
      <c r="X66" s="54" t="s">
        <v>278</v>
      </c>
      <c r="Y66" s="77">
        <f t="shared" si="11"/>
        <v>0</v>
      </c>
      <c r="Z66" t="s">
        <v>394</v>
      </c>
      <c r="AA66" s="74" t="s">
        <v>374</v>
      </c>
      <c r="AC66" s="76" t="s">
        <v>375</v>
      </c>
      <c r="AD66" s="75">
        <f t="shared" si="12"/>
        <v>0</v>
      </c>
    </row>
    <row r="67" spans="2:30" x14ac:dyDescent="0.2">
      <c r="B67" s="12" t="s">
        <v>18</v>
      </c>
      <c r="C67" s="12" t="s">
        <v>19</v>
      </c>
      <c r="D67" s="12" t="s">
        <v>18</v>
      </c>
      <c r="E67" s="12" t="s">
        <v>19</v>
      </c>
      <c r="F67" s="179"/>
      <c r="Q67" s="172"/>
      <c r="R67" s="71" t="s">
        <v>209</v>
      </c>
      <c r="S67" s="69">
        <f>IF('1_採択区分・推計パターン選択'!$D$4='（計算用1）'!$Q$60,'2_文化資源'!H11,0)</f>
        <v>0</v>
      </c>
      <c r="U67" s="54" t="s">
        <v>279</v>
      </c>
      <c r="V67" s="59">
        <f t="shared" si="10"/>
        <v>0</v>
      </c>
      <c r="X67" s="54" t="s">
        <v>279</v>
      </c>
      <c r="Y67" s="77">
        <f t="shared" si="11"/>
        <v>0</v>
      </c>
      <c r="Z67" t="s">
        <v>394</v>
      </c>
      <c r="AA67" s="74" t="s">
        <v>374</v>
      </c>
      <c r="AC67" s="76" t="s">
        <v>380</v>
      </c>
      <c r="AD67" s="75">
        <f t="shared" si="12"/>
        <v>0</v>
      </c>
    </row>
    <row r="68" spans="2:30" x14ac:dyDescent="0.2">
      <c r="B68" s="22">
        <f>IF('1_採択区分・推計パターン選択'!$D$5="パターン②",'3_パターン②'!$K$17,0)</f>
        <v>0</v>
      </c>
      <c r="C68" s="22">
        <f>IF('1_採択区分・推計パターン選択'!$D$5="パターン②",'3_パターン②'!$K$18,0)</f>
        <v>0</v>
      </c>
      <c r="D68" s="22">
        <f>IF('1_採択区分・推計パターン選択'!$D$5="パターン②",'3_パターン②'!$K$19,0)</f>
        <v>0</v>
      </c>
      <c r="E68" s="22">
        <f>IF('1_採択区分・推計パターン選択'!$D$5="パターン②",'3_パターン②'!$K$20,0)</f>
        <v>0</v>
      </c>
      <c r="F68" s="22">
        <f>IF('1_採択区分・推計パターン選択'!$D$5="パターン②",'3_パターン②'!$K$21,0)</f>
        <v>0</v>
      </c>
      <c r="Q68" s="172"/>
      <c r="R68" s="71" t="s">
        <v>210</v>
      </c>
      <c r="S68" s="69">
        <f>IF('1_採択区分・推計パターン選択'!$D$4='（計算用1）'!$Q$60,'2_文化資源'!H12,0)</f>
        <v>0</v>
      </c>
      <c r="U68" s="54" t="s">
        <v>280</v>
      </c>
      <c r="V68" s="59">
        <f t="shared" si="10"/>
        <v>0</v>
      </c>
      <c r="X68" s="54" t="s">
        <v>280</v>
      </c>
      <c r="Y68" s="77">
        <f t="shared" si="11"/>
        <v>0</v>
      </c>
      <c r="Z68" t="s">
        <v>394</v>
      </c>
      <c r="AA68" s="74" t="s">
        <v>376</v>
      </c>
      <c r="AC68" s="76" t="s">
        <v>387</v>
      </c>
      <c r="AD68" s="75">
        <f t="shared" si="12"/>
        <v>0</v>
      </c>
    </row>
    <row r="69" spans="2:30" x14ac:dyDescent="0.2">
      <c r="Q69" s="172"/>
      <c r="R69" s="71" t="s">
        <v>211</v>
      </c>
      <c r="S69" s="69">
        <f>IF('1_採択区分・推計パターン選択'!$D$4='（計算用1）'!$Q$60,'2_文化資源'!H13,0)</f>
        <v>0</v>
      </c>
      <c r="U69" s="54" t="s">
        <v>281</v>
      </c>
      <c r="V69" s="59">
        <f t="shared" si="10"/>
        <v>0</v>
      </c>
      <c r="X69" s="54" t="s">
        <v>281</v>
      </c>
      <c r="Y69" s="77">
        <f t="shared" si="11"/>
        <v>0</v>
      </c>
      <c r="Z69" t="s">
        <v>394</v>
      </c>
      <c r="AA69" s="74" t="s">
        <v>372</v>
      </c>
      <c r="AC69" s="54" t="s">
        <v>386</v>
      </c>
      <c r="AD69" s="75">
        <f t="shared" si="12"/>
        <v>0</v>
      </c>
    </row>
    <row r="70" spans="2:30" x14ac:dyDescent="0.2">
      <c r="B70" s="54" t="s">
        <v>3</v>
      </c>
      <c r="C70" s="12" t="s">
        <v>18</v>
      </c>
      <c r="D70" s="12" t="s">
        <v>19</v>
      </c>
      <c r="Q70" s="172"/>
      <c r="R70" s="71" t="s">
        <v>212</v>
      </c>
      <c r="S70" s="69">
        <f>IF('1_採択区分・推計パターン選択'!$D$4='（計算用1）'!$Q$60,'2_文化資源'!H14,0)</f>
        <v>0</v>
      </c>
      <c r="U70" s="54" t="s">
        <v>282</v>
      </c>
      <c r="V70" s="59">
        <f t="shared" si="10"/>
        <v>0</v>
      </c>
      <c r="X70" s="54" t="s">
        <v>282</v>
      </c>
      <c r="Y70" s="77">
        <f t="shared" si="11"/>
        <v>0</v>
      </c>
      <c r="Z70" t="s">
        <v>394</v>
      </c>
      <c r="AA70" s="74" t="s">
        <v>376</v>
      </c>
    </row>
    <row r="71" spans="2:30" x14ac:dyDescent="0.2">
      <c r="B71" s="57" t="s">
        <v>152</v>
      </c>
      <c r="C71" s="55">
        <f>IF('1_採択区分・推計パターン選択'!$D$5="パターン②",IF('3_パターン②'!$E$5="","",VLOOKUP('3_パターン②'!$E$5,'（入込数）'!$B$6:$N$52,10,FALSE)),0)</f>
        <v>0</v>
      </c>
      <c r="D71" s="55">
        <f>IF('1_採択区分・推計パターン選択'!$D$5="パターン②",IF('3_パターン②'!$E$5="","",VLOOKUP('3_パターン②'!$E$5,'（入込数）'!$B$6:$N$52,11,FALSE)),0)</f>
        <v>0</v>
      </c>
      <c r="Q71" s="172"/>
      <c r="R71" s="71" t="s">
        <v>213</v>
      </c>
      <c r="S71" s="69">
        <f>IF('1_採択区分・推計パターン選択'!$D$4='（計算用1）'!$Q$60,'2_文化資源'!H15,0)</f>
        <v>0</v>
      </c>
      <c r="U71" s="54" t="s">
        <v>283</v>
      </c>
      <c r="V71" s="59">
        <f t="shared" si="10"/>
        <v>0</v>
      </c>
      <c r="X71" s="54" t="s">
        <v>283</v>
      </c>
      <c r="Y71" s="77">
        <f t="shared" si="11"/>
        <v>0</v>
      </c>
      <c r="Z71" t="s">
        <v>394</v>
      </c>
      <c r="AA71" s="74" t="s">
        <v>374</v>
      </c>
    </row>
    <row r="72" spans="2:30" x14ac:dyDescent="0.2">
      <c r="B72" s="57" t="s">
        <v>153</v>
      </c>
      <c r="C72" s="64" t="str">
        <f>IF('1_採択区分・推計パターン選択'!$D$5="パターン②",IF(C71="",0,C71/SUM($C$71:$D$71)),"")</f>
        <v/>
      </c>
      <c r="D72" s="64" t="str">
        <f>IF('1_採択区分・推計パターン選択'!$D$5="パターン②",IF(D71="",0,D71/SUM($C$71:$D$71)),"")</f>
        <v/>
      </c>
      <c r="Q72" s="172"/>
      <c r="R72" s="71" t="s">
        <v>214</v>
      </c>
      <c r="S72" s="69">
        <f>IF('1_採択区分・推計パターン選択'!$D$4='（計算用1）'!$Q$60,'2_文化資源'!H16,0)</f>
        <v>0</v>
      </c>
      <c r="U72" s="54" t="s">
        <v>284</v>
      </c>
      <c r="V72" s="59">
        <f t="shared" si="10"/>
        <v>0</v>
      </c>
      <c r="X72" s="54" t="s">
        <v>284</v>
      </c>
      <c r="Y72" s="77">
        <f t="shared" si="11"/>
        <v>0</v>
      </c>
      <c r="Z72" t="s">
        <v>394</v>
      </c>
      <c r="AA72" s="74" t="s">
        <v>374</v>
      </c>
    </row>
    <row r="73" spans="2:30" x14ac:dyDescent="0.2">
      <c r="B73" s="57" t="s">
        <v>154</v>
      </c>
      <c r="C73" s="55" t="str">
        <f>IF('1_採択区分・推計パターン選択'!$D$5="パターン②",$F$68*C72,"")</f>
        <v/>
      </c>
      <c r="D73" s="55" t="str">
        <f>IF('1_採択区分・推計パターン選択'!$D$5="パターン②",$F$68*D72,"")</f>
        <v/>
      </c>
      <c r="Q73" s="172"/>
      <c r="R73" s="71" t="s">
        <v>215</v>
      </c>
      <c r="S73" s="69">
        <f>IF('1_採択区分・推計パターン選択'!$D$4='（計算用1）'!$Q$60,'2_文化資源'!H17,0)</f>
        <v>0</v>
      </c>
      <c r="U73" s="54" t="s">
        <v>285</v>
      </c>
      <c r="V73" s="59">
        <f t="shared" si="10"/>
        <v>0</v>
      </c>
      <c r="X73" s="54" t="s">
        <v>285</v>
      </c>
      <c r="Y73" s="77">
        <f t="shared" si="11"/>
        <v>0</v>
      </c>
      <c r="Z73" t="s">
        <v>394</v>
      </c>
      <c r="AA73" s="74" t="s">
        <v>445</v>
      </c>
    </row>
    <row r="74" spans="2:30" x14ac:dyDescent="0.2">
      <c r="Q74" s="172"/>
      <c r="R74" s="71" t="s">
        <v>216</v>
      </c>
      <c r="S74" s="69">
        <f>IF('1_採択区分・推計パターン選択'!$D$4='（計算用1）'!$Q$60,'2_文化資源'!H18,0)</f>
        <v>0</v>
      </c>
      <c r="U74" s="54" t="s">
        <v>286</v>
      </c>
      <c r="V74" s="59">
        <f t="shared" si="10"/>
        <v>0</v>
      </c>
      <c r="X74" s="54" t="s">
        <v>286</v>
      </c>
      <c r="Y74" s="77">
        <f t="shared" si="11"/>
        <v>0</v>
      </c>
      <c r="Z74" t="s">
        <v>394</v>
      </c>
      <c r="AA74" s="74" t="s">
        <v>380</v>
      </c>
    </row>
    <row r="75" spans="2:30" x14ac:dyDescent="0.2">
      <c r="B75" t="s">
        <v>118</v>
      </c>
      <c r="Q75" s="172"/>
      <c r="R75" s="71" t="s">
        <v>217</v>
      </c>
      <c r="S75" s="69">
        <f>IF('1_採択区分・推計パターン選択'!$D$4='（計算用1）'!$Q$60,'2_文化資源'!H19,0)</f>
        <v>0</v>
      </c>
      <c r="U75" s="54" t="s">
        <v>287</v>
      </c>
      <c r="V75" s="59">
        <f>S75+S92</f>
        <v>0</v>
      </c>
      <c r="X75" s="54" t="s">
        <v>287</v>
      </c>
      <c r="Y75" s="77">
        <f t="shared" si="11"/>
        <v>0</v>
      </c>
      <c r="Z75" t="s">
        <v>394</v>
      </c>
      <c r="AA75" s="74" t="s">
        <v>374</v>
      </c>
    </row>
    <row r="76" spans="2:30" x14ac:dyDescent="0.2">
      <c r="B76" s="152" t="s">
        <v>2</v>
      </c>
      <c r="C76" s="155" t="s">
        <v>0</v>
      </c>
      <c r="D76" s="155"/>
      <c r="E76" s="155" t="s">
        <v>1</v>
      </c>
      <c r="F76" s="155"/>
      <c r="H76" s="179" t="s">
        <v>2</v>
      </c>
      <c r="I76" s="179"/>
      <c r="K76" s="179" t="s">
        <v>2</v>
      </c>
      <c r="L76" s="155" t="s">
        <v>0</v>
      </c>
      <c r="M76" s="155"/>
      <c r="N76" s="155" t="s">
        <v>1</v>
      </c>
      <c r="O76" s="155"/>
      <c r="Q76" s="172"/>
      <c r="R76" s="71" t="s">
        <v>218</v>
      </c>
      <c r="S76" s="69">
        <f>IF('1_採択区分・推計パターン選択'!$D$4='（計算用1）'!$Q$60,'2_文化資源'!H20,0)</f>
        <v>0</v>
      </c>
      <c r="U76" s="54" t="s">
        <v>310</v>
      </c>
      <c r="V76" s="59">
        <f>S93</f>
        <v>0</v>
      </c>
      <c r="X76" s="54" t="s">
        <v>397</v>
      </c>
      <c r="Y76" s="77">
        <f t="shared" si="11"/>
        <v>0</v>
      </c>
      <c r="Z76" t="s">
        <v>394</v>
      </c>
      <c r="AA76" s="74" t="s">
        <v>387</v>
      </c>
    </row>
    <row r="77" spans="2:30" x14ac:dyDescent="0.2">
      <c r="B77" s="153"/>
      <c r="C77" s="12" t="s">
        <v>18</v>
      </c>
      <c r="D77" s="12" t="s">
        <v>19</v>
      </c>
      <c r="E77" s="12" t="s">
        <v>18</v>
      </c>
      <c r="F77" s="12" t="s">
        <v>19</v>
      </c>
      <c r="H77" s="179"/>
      <c r="I77" s="179"/>
      <c r="K77" s="179"/>
      <c r="L77" s="12" t="s">
        <v>18</v>
      </c>
      <c r="M77" s="12" t="s">
        <v>19</v>
      </c>
      <c r="N77" s="12" t="s">
        <v>18</v>
      </c>
      <c r="O77" s="12" t="s">
        <v>19</v>
      </c>
      <c r="Q77" s="173"/>
      <c r="R77" s="71" t="s">
        <v>219</v>
      </c>
      <c r="S77" s="69">
        <f>IF('1_採択区分・推計パターン選択'!$D$4='（計算用1）'!$Q$60,'2_文化資源'!H21,0)</f>
        <v>0</v>
      </c>
      <c r="U77" s="54" t="s">
        <v>289</v>
      </c>
      <c r="V77" s="59">
        <f>S76</f>
        <v>0</v>
      </c>
    </row>
    <row r="78" spans="2:30" x14ac:dyDescent="0.2">
      <c r="B78" s="154"/>
      <c r="C78" s="56">
        <f>IF('1_採択区分・推計パターン選択'!$D$5="パターン②",IF('3_パターン②'!$E$5="","",VLOOKUP('3_パターン②'!$E$5,'（入込数）'!$B$6:$N$52,2,FALSE)),0)</f>
        <v>0</v>
      </c>
      <c r="D78" s="56">
        <f>IF('1_採択区分・推計パターン選択'!$D$5="パターン②",IF('3_パターン②'!$E$5="","",VLOOKUP('3_パターン②'!$E$5,'（入込数）'!$B$6:$N$52,3,FALSE)),0)</f>
        <v>0</v>
      </c>
      <c r="E78" s="56">
        <f>IF('1_採択区分・推計パターン選択'!$D$5="パターン②",IF('3_パターン②'!$E$5="","",VLOOKUP('3_パターン②'!$E$5,'（入込数）'!$B$6:$N$52,4,FALSE)),0)</f>
        <v>0</v>
      </c>
      <c r="F78" s="56">
        <f>IF('1_採択区分・推計パターン選択'!$D$5="パターン②",IF('3_パターン②'!$E$5="","",VLOOKUP('3_パターン②'!$E$5,'（入込数）'!$B$6:$N$52,5,FALSE)),0)</f>
        <v>0</v>
      </c>
      <c r="H78" s="17" t="s">
        <v>16</v>
      </c>
      <c r="I78" s="58">
        <f>IF('1_採択区分・推計パターン選択'!$D$5="パターン②",IF('3_パターン②'!$E$5="","",VLOOKUP('3_パターン②'!$E$5,'（消費内訳）'!$B$6:$R$53,3,FALSE)),0)</f>
        <v>0</v>
      </c>
      <c r="K78" s="17" t="s">
        <v>16</v>
      </c>
      <c r="L78" s="56" t="str">
        <f>IF('1_採択区分・推計パターン選択'!$D$5="パターン②",C$78*$I78/SUM($I$78:$I$84),"")</f>
        <v/>
      </c>
      <c r="M78" s="56" t="str">
        <f>IF('1_採択区分・推計パターン選択'!$D$5="パターン②",D$78*$I78/SUM($I$78:$I$84),"")</f>
        <v/>
      </c>
      <c r="N78" s="56" t="str">
        <f>IF('1_採択区分・推計パターン選択'!$D$5="パターン②",E$78*$I78/SUM($I$78:$I$84),"")</f>
        <v/>
      </c>
      <c r="O78" s="56" t="str">
        <f>IF('1_採択区分・推計パターン選択'!$D$5="パターン②",F$78*$I78/SUM($I$78:$I$84),"")</f>
        <v/>
      </c>
      <c r="Q78" s="171" t="s">
        <v>362</v>
      </c>
      <c r="R78" s="71" t="s">
        <v>220</v>
      </c>
      <c r="S78" s="69">
        <f>IF('1_採択区分・推計パターン選択'!$D$4='（計算用1）'!$Q$60,'2_文化資源'!H22,0)</f>
        <v>0</v>
      </c>
      <c r="U78" s="54" t="s">
        <v>290</v>
      </c>
      <c r="V78" s="59">
        <f>S77</f>
        <v>0</v>
      </c>
    </row>
    <row r="79" spans="2:30" x14ac:dyDescent="0.2">
      <c r="H79" s="17" t="s">
        <v>11</v>
      </c>
      <c r="I79" s="58">
        <f>IF('1_採択区分・推計パターン選択'!$D$5="パターン②",IF('3_パターン②'!$E$5="","",VLOOKUP('3_パターン②'!$E$5,'（消費内訳）'!$B$6:$R$53,4,FALSE)),0)</f>
        <v>0</v>
      </c>
      <c r="K79" s="17" t="s">
        <v>11</v>
      </c>
      <c r="L79" s="56" t="str">
        <f>IF('1_採択区分・推計パターン選択'!$D$5="パターン②",C$78*$I79/SUM($I$78:$I$84),"")</f>
        <v/>
      </c>
      <c r="M79" s="56" t="str">
        <f>IF('1_採択区分・推計パターン選択'!$D$5="パターン②",D$78*$I79/SUM($I$78:$I$84),"")</f>
        <v/>
      </c>
      <c r="N79" s="56" t="str">
        <f>IF('1_採択区分・推計パターン選択'!$D$5="パターン②",E$78*$I79/SUM($I$78:$I$84),"")</f>
        <v/>
      </c>
      <c r="O79" s="56" t="str">
        <f>IF('1_採択区分・推計パターン選択'!$D$5="パターン②",F$78*$I79/SUM($I$78:$I$84),"")</f>
        <v/>
      </c>
      <c r="Q79" s="172"/>
      <c r="R79" s="71" t="s">
        <v>221</v>
      </c>
      <c r="S79" s="69">
        <f>IF('1_採択区分・推計パターン選択'!$D$4='（計算用1）'!$Q$60,'2_文化資源'!H23,0)</f>
        <v>0</v>
      </c>
      <c r="U79" s="54" t="s">
        <v>311</v>
      </c>
      <c r="V79" s="59">
        <f>S94</f>
        <v>0</v>
      </c>
    </row>
    <row r="80" spans="2:30" x14ac:dyDescent="0.2">
      <c r="H80" s="17" t="s">
        <v>12</v>
      </c>
      <c r="I80" s="58">
        <f>IF('1_採択区分・推計パターン選択'!$D$5="パターン②",IF('3_パターン②'!$E$5="","",VLOOKUP('3_パターン②'!$E$5,'（消費内訳）'!$B$6:$R$53,5,FALSE)),0)</f>
        <v>0</v>
      </c>
      <c r="K80" s="17" t="s">
        <v>12</v>
      </c>
      <c r="L80" s="56" t="str">
        <f>IF('1_採択区分・推計パターン選択'!$D$5="パターン②",C$78*$I80/SUM($I$78:$I$84),"")</f>
        <v/>
      </c>
      <c r="M80" s="56" t="str">
        <f>IF('1_採択区分・推計パターン選択'!$D$5="パターン②",D$78*$I80/SUM($I$78:$I$84),"")</f>
        <v/>
      </c>
      <c r="N80" s="56" t="str">
        <f>IF('1_採択区分・推計パターン選択'!$D$5="パターン②",E$78*$I80/SUM($I$78:$I$84),"")</f>
        <v/>
      </c>
      <c r="O80" s="56" t="str">
        <f>IF('1_採択区分・推計パターン選択'!$D$5="パターン②",F$78*$I80/SUM($I$78:$I$84),"")</f>
        <v/>
      </c>
      <c r="Q80" s="172"/>
      <c r="R80" s="71" t="s">
        <v>222</v>
      </c>
      <c r="S80" s="69">
        <f>IF('1_採択区分・推計パターン選択'!$D$4='（計算用1）'!$Q$60,'2_文化資源'!H24,0)</f>
        <v>0</v>
      </c>
    </row>
    <row r="81" spans="2:19" x14ac:dyDescent="0.2">
      <c r="H81" s="17" t="s">
        <v>13</v>
      </c>
      <c r="I81" s="58">
        <f>IF('1_採択区分・推計パターン選択'!$D$5="パターン②",IF('3_パターン②'!$E$5="","",VLOOKUP('3_パターン②'!$E$5,'（消費内訳）'!$B$6:$R$53,6,FALSE)),0)</f>
        <v>0</v>
      </c>
      <c r="K81" s="17" t="s">
        <v>13</v>
      </c>
      <c r="L81" s="56" t="str">
        <f>IF('1_採択区分・推計パターン選択'!$D$5="パターン②",C$78*$I81/SUM($I$78:$I$84),"")</f>
        <v/>
      </c>
      <c r="M81" s="56" t="str">
        <f>IF('1_採択区分・推計パターン選択'!$D$5="パターン②",D$78*$I81/SUM($I$78:$I$84),"")</f>
        <v/>
      </c>
      <c r="N81" s="56" t="str">
        <f>IF('1_採択区分・推計パターン選択'!$D$5="パターン②",E$78*$I81/SUM($I$78:$I$84),"")</f>
        <v/>
      </c>
      <c r="O81" s="56" t="str">
        <f>IF('1_採択区分・推計パターン選択'!$D$5="パターン②",F$78*$I81/SUM($I$78:$I$84),"")</f>
        <v/>
      </c>
      <c r="Q81" s="172"/>
      <c r="R81" s="71" t="s">
        <v>223</v>
      </c>
      <c r="S81" s="69">
        <f>IF('1_採択区分・推計パターン選択'!$D$4='（計算用1）'!$Q$60,'2_文化資源'!H25,0)</f>
        <v>0</v>
      </c>
    </row>
    <row r="82" spans="2:19" x14ac:dyDescent="0.2">
      <c r="H82" s="17" t="s">
        <v>17</v>
      </c>
      <c r="I82" s="58">
        <f>IF('1_採択区分・推計パターン選択'!$D$5="パターン②",IF('3_パターン②'!$E$5="","",VLOOKUP('3_パターン②'!$E$5,'（消費内訳）'!$B$6:$R$53,7,FALSE)),0)</f>
        <v>0</v>
      </c>
      <c r="K82" s="17" t="s">
        <v>17</v>
      </c>
      <c r="L82" s="56" t="str">
        <f>IF('1_採択区分・推計パターン選択'!$D$5="パターン②",C$78*$I82/SUM($I$78:$I$84),"")</f>
        <v/>
      </c>
      <c r="M82" s="56" t="str">
        <f>IF('1_採択区分・推計パターン選択'!$D$5="パターン②",D$78*$I82/SUM($I$78:$I$84),"")</f>
        <v/>
      </c>
      <c r="N82" s="56" t="str">
        <f>IF('1_採択区分・推計パターン選択'!$D$5="パターン②",E$78*$I82/SUM($I$78:$I$84),"")</f>
        <v/>
      </c>
      <c r="O82" s="56" t="str">
        <f>IF('1_採択区分・推計パターン選択'!$D$5="パターン②",F$78*$I82/SUM($I$78:$I$84),"")</f>
        <v/>
      </c>
      <c r="Q82" s="172"/>
      <c r="R82" s="71" t="s">
        <v>224</v>
      </c>
      <c r="S82" s="69">
        <f>IF('1_採択区分・推計パターン選択'!$D$4='（計算用1）'!$Q$60,'2_文化資源'!H26,0)</f>
        <v>0</v>
      </c>
    </row>
    <row r="83" spans="2:19" x14ac:dyDescent="0.2">
      <c r="H83" s="17" t="s">
        <v>14</v>
      </c>
      <c r="I83" s="58">
        <f>IF('1_採択区分・推計パターン選択'!$D$5="パターン②",IF('3_パターン②'!$E$5="","",VLOOKUP('3_パターン②'!$E$5,'（消費内訳）'!$B$6:$R$53,8,FALSE)),0)</f>
        <v>0</v>
      </c>
      <c r="K83" s="17" t="s">
        <v>14</v>
      </c>
      <c r="L83" s="56" t="str">
        <f>IF('1_採択区分・推計パターン選択'!$D$5="パターン②",C$78*$I83/SUM($I$78:$I$84),"")</f>
        <v/>
      </c>
      <c r="M83" s="56" t="str">
        <f>IF('1_採択区分・推計パターン選択'!$D$5="パターン②",D$78*$I83/SUM($I$78:$I$84),"")</f>
        <v/>
      </c>
      <c r="N83" s="56" t="str">
        <f>IF('1_採択区分・推計パターン選択'!$D$5="パターン②",E$78*$I83/SUM($I$78:$I$84),"")</f>
        <v/>
      </c>
      <c r="O83" s="56" t="str">
        <f>IF('1_採択区分・推計パターン選択'!$D$5="パターン②",F$78*$I83/SUM($I$78:$I$84),"")</f>
        <v/>
      </c>
      <c r="Q83" s="172"/>
      <c r="R83" s="71" t="s">
        <v>225</v>
      </c>
      <c r="S83" s="69">
        <f>IF('1_採択区分・推計パターン選択'!$D$4='（計算用1）'!$Q$60,'2_文化資源'!H27,0)</f>
        <v>0</v>
      </c>
    </row>
    <row r="84" spans="2:19" x14ac:dyDescent="0.2">
      <c r="H84" s="17" t="s">
        <v>15</v>
      </c>
      <c r="I84" s="58">
        <f>IF('1_採択区分・推計パターン選択'!$D$5="パターン②",IF('3_パターン②'!$E$5="","",VLOOKUP('3_パターン②'!$E$5,'（消費内訳）'!$B$6:$R$53,9,FALSE)),0)</f>
        <v>0</v>
      </c>
      <c r="K84" s="17" t="s">
        <v>15</v>
      </c>
      <c r="L84" s="56" t="str">
        <f>IF('1_採択区分・推計パターン選択'!$D$5="パターン②",C$78*$I84/SUM($I$78:$I$84),"")</f>
        <v/>
      </c>
      <c r="M84" s="56" t="str">
        <f>IF('1_採択区分・推計パターン選択'!$D$5="パターン②",D$78*$I84/SUM($I$78:$I$84),"")</f>
        <v/>
      </c>
      <c r="N84" s="56" t="str">
        <f>IF('1_採択区分・推計パターン選択'!$D$5="パターン②",E$78*$I84/SUM($I$78:$I$84),"")</f>
        <v/>
      </c>
      <c r="O84" s="56" t="str">
        <f>IF('1_採択区分・推計パターン選択'!$D$5="パターン②",F$78*$I84/SUM($I$78:$I$84),"")</f>
        <v/>
      </c>
      <c r="Q84" s="172"/>
      <c r="R84" s="71" t="s">
        <v>226</v>
      </c>
      <c r="S84" s="69">
        <f>IF('1_採択区分・推計パターン選択'!$D$4='（計算用1）'!$Q$60,'2_文化資源'!H28,0)</f>
        <v>0</v>
      </c>
    </row>
    <row r="85" spans="2:19" x14ac:dyDescent="0.2">
      <c r="Q85" s="172"/>
      <c r="R85" s="71" t="s">
        <v>227</v>
      </c>
      <c r="S85" s="69">
        <f>IF('1_採択区分・推計パターン選択'!$D$4='（計算用1）'!$Q$60,'2_文化資源'!H29,0)</f>
        <v>0</v>
      </c>
    </row>
    <row r="86" spans="2:19" x14ac:dyDescent="0.2">
      <c r="Q86" s="172"/>
      <c r="R86" s="71" t="s">
        <v>228</v>
      </c>
      <c r="S86" s="69">
        <f>IF('1_採択区分・推計パターン選択'!$D$4='（計算用1）'!$Q$60,'2_文化資源'!H30,0)</f>
        <v>0</v>
      </c>
    </row>
    <row r="87" spans="2:19" x14ac:dyDescent="0.2">
      <c r="B87" s="179" t="s">
        <v>3</v>
      </c>
      <c r="C87" s="23" t="s">
        <v>18</v>
      </c>
      <c r="D87" s="23" t="s">
        <v>19</v>
      </c>
      <c r="F87" s="180" t="s">
        <v>3</v>
      </c>
      <c r="G87" s="181"/>
      <c r="I87" s="12" t="s">
        <v>151</v>
      </c>
      <c r="J87" s="23" t="s">
        <v>18</v>
      </c>
      <c r="K87" s="23" t="s">
        <v>19</v>
      </c>
      <c r="Q87" s="172"/>
      <c r="R87" s="71" t="s">
        <v>170</v>
      </c>
      <c r="S87" s="69">
        <f>IF('1_採択区分・推計パターン選択'!$D$4='（計算用1）'!$Q$60,'2_文化資源'!H31,0)</f>
        <v>0</v>
      </c>
    </row>
    <row r="88" spans="2:19" x14ac:dyDescent="0.2">
      <c r="B88" s="179"/>
      <c r="C88" s="55">
        <f>IF('1_採択区分・推計パターン選択'!$D$5="パターン②",IF('3_パターン②'!$E$5="","",VLOOKUP('3_パターン②'!$E$5,'（入込数）'!$B$6:$N$52,12,FALSE)),0)</f>
        <v>0</v>
      </c>
      <c r="D88" s="55">
        <f>IF('1_採択区分・推計パターン選択'!$D$5="パターン②",IF('3_パターン②'!$E$5="","",VLOOKUP('3_パターン②'!$E$5,'（入込数）'!$B$6:$N$52,13,FALSE)),0)</f>
        <v>0</v>
      </c>
      <c r="F88" s="17" t="s">
        <v>16</v>
      </c>
      <c r="G88" s="58">
        <f>IF('1_採択区分・推計パターン選択'!$D$5="パターン②",IF('3_パターン②'!$E$5="","",VLOOKUP('3_パターン②'!$E$5,'（消費内訳）'!$B$6:$R$53,11,FALSE)),0)</f>
        <v>0</v>
      </c>
      <c r="I88" s="17" t="s">
        <v>16</v>
      </c>
      <c r="J88" s="56" t="str">
        <f>IF('1_採択区分・推計パターン選択'!$D$5="パターン②",C$88*$G88/SUM($G$88:$G$94),"")</f>
        <v/>
      </c>
      <c r="K88" s="56" t="str">
        <f>IF('1_採択区分・推計パターン選択'!$D$5="パターン②",D$88*$G88/SUM($G$88:$G$94),"")</f>
        <v/>
      </c>
      <c r="Q88" s="172"/>
      <c r="R88" s="71" t="s">
        <v>169</v>
      </c>
      <c r="S88" s="69">
        <f>IF('1_採択区分・推計パターン選択'!$D$4='（計算用1）'!$Q$60,'2_文化資源'!H32,0)</f>
        <v>0</v>
      </c>
    </row>
    <row r="89" spans="2:19" x14ac:dyDescent="0.2">
      <c r="F89" s="17" t="s">
        <v>11</v>
      </c>
      <c r="G89" s="58">
        <f>IF('1_採択区分・推計パターン選択'!$D$5="パターン②",IF('3_パターン②'!$E$5="","",VLOOKUP('3_パターン②'!$E$5,'（消費内訳）'!$B$6:$R$53,12,FALSE)),0)</f>
        <v>0</v>
      </c>
      <c r="I89" s="17" t="s">
        <v>11</v>
      </c>
      <c r="J89" s="56" t="str">
        <f>IF('1_採択区分・推計パターン選択'!$D$5="パターン②",C$88*$G89/SUM($G$88:$G$94),"")</f>
        <v/>
      </c>
      <c r="K89" s="56" t="str">
        <f>IF('1_採択区分・推計パターン選択'!$D$5="パターン②",D$88*$G89/SUM($G$88:$G$94),"")</f>
        <v/>
      </c>
      <c r="Q89" s="172"/>
      <c r="R89" s="71" t="s">
        <v>229</v>
      </c>
      <c r="S89" s="69">
        <f>IF('1_採択区分・推計パターン選択'!$D$4='（計算用1）'!$Q$60,'2_文化資源'!H33,0)</f>
        <v>0</v>
      </c>
    </row>
    <row r="90" spans="2:19" x14ac:dyDescent="0.2">
      <c r="F90" s="17" t="s">
        <v>12</v>
      </c>
      <c r="G90" s="58">
        <f>IF('1_採択区分・推計パターン選択'!$D$5="パターン②",IF('3_パターン②'!$E$5="","",VLOOKUP('3_パターン②'!$E$5,'（消費内訳）'!$B$6:$R$53,13,FALSE)),0)</f>
        <v>0</v>
      </c>
      <c r="I90" s="17" t="s">
        <v>12</v>
      </c>
      <c r="J90" s="56" t="str">
        <f>IF('1_採択区分・推計パターン選択'!$D$5="パターン②",C$88*$G90/SUM($G$88:$G$94),"")</f>
        <v/>
      </c>
      <c r="K90" s="56" t="str">
        <f>IF('1_採択区分・推計パターン選択'!$D$5="パターン②",D$88*$G90/SUM($G$88:$G$94),"")</f>
        <v/>
      </c>
      <c r="Q90" s="172"/>
      <c r="R90" s="71" t="s">
        <v>230</v>
      </c>
      <c r="S90" s="69">
        <f>IF('1_採択区分・推計パターン選択'!$D$4='（計算用1）'!$Q$60,'2_文化資源'!H34,0)</f>
        <v>0</v>
      </c>
    </row>
    <row r="91" spans="2:19" x14ac:dyDescent="0.2">
      <c r="F91" s="17" t="s">
        <v>13</v>
      </c>
      <c r="G91" s="58">
        <f>IF('1_採択区分・推計パターン選択'!$D$5="パターン②",IF('3_パターン②'!$E$5="","",VLOOKUP('3_パターン②'!$E$5,'（消費内訳）'!$B$6:$R$53,14,FALSE)),0)</f>
        <v>0</v>
      </c>
      <c r="I91" s="17" t="s">
        <v>13</v>
      </c>
      <c r="J91" s="56" t="str">
        <f>IF('1_採択区分・推計パターン選択'!$D$5="パターン②",C$88*$G91/SUM($G$88:$G$94),"")</f>
        <v/>
      </c>
      <c r="K91" s="56" t="str">
        <f>IF('1_採択区分・推計パターン選択'!$D$5="パターン②",D$88*$G91/SUM($G$88:$G$94),"")</f>
        <v/>
      </c>
      <c r="Q91" s="172"/>
      <c r="R91" s="71" t="s">
        <v>231</v>
      </c>
      <c r="S91" s="69">
        <f>IF('1_採択区分・推計パターン選択'!$D$4='（計算用1）'!$Q$60,'2_文化資源'!H35,0)</f>
        <v>0</v>
      </c>
    </row>
    <row r="92" spans="2:19" x14ac:dyDescent="0.2">
      <c r="F92" s="17" t="s">
        <v>17</v>
      </c>
      <c r="G92" s="58">
        <f>IF('1_採択区分・推計パターン選択'!$D$5="パターン②",IF('3_パターン②'!$E$5="","",VLOOKUP('3_パターン②'!$E$5,'（消費内訳）'!$B$6:$R$53,15,FALSE)),0)</f>
        <v>0</v>
      </c>
      <c r="I92" s="17" t="s">
        <v>17</v>
      </c>
      <c r="J92" s="56" t="str">
        <f>IF('1_採択区分・推計パターン選択'!$D$5="パターン②",C$88*$G92/SUM($G$88:$G$94),"")</f>
        <v/>
      </c>
      <c r="K92" s="56" t="str">
        <f>IF('1_採択区分・推計パターン選択'!$D$5="パターン②",D$88*$G92/SUM($G$88:$G$94),"")</f>
        <v/>
      </c>
      <c r="Q92" s="172"/>
      <c r="R92" s="71" t="s">
        <v>232</v>
      </c>
      <c r="S92" s="69">
        <f>IF('1_採択区分・推計パターン選択'!$D$4='（計算用1）'!$Q$60,'2_文化資源'!H36,0)</f>
        <v>0</v>
      </c>
    </row>
    <row r="93" spans="2:19" x14ac:dyDescent="0.2">
      <c r="F93" s="17" t="s">
        <v>14</v>
      </c>
      <c r="G93" s="58">
        <f>IF('1_採択区分・推計パターン選択'!$D$5="パターン②",IF('3_パターン②'!$E$5="","",VLOOKUP('3_パターン②'!$E$5,'（消費内訳）'!$B$6:$R$53,16,FALSE)),0)</f>
        <v>0</v>
      </c>
      <c r="I93" s="17" t="s">
        <v>14</v>
      </c>
      <c r="J93" s="56" t="str">
        <f>IF('1_採択区分・推計パターン選択'!$D$5="パターン②",C$88*$G93/SUM($G$88:$G$94),"")</f>
        <v/>
      </c>
      <c r="K93" s="56" t="str">
        <f>IF('1_採択区分・推計パターン選択'!$D$5="パターン②",D$88*$G93/SUM($G$88:$G$94),"")</f>
        <v/>
      </c>
      <c r="Q93" s="172"/>
      <c r="R93" s="71" t="s">
        <v>233</v>
      </c>
      <c r="S93" s="69">
        <f>IF('1_採択区分・推計パターン選択'!$D$4='（計算用1）'!$Q$60,'2_文化資源'!H37,0)</f>
        <v>0</v>
      </c>
    </row>
    <row r="94" spans="2:19" x14ac:dyDescent="0.2">
      <c r="F94" s="17" t="s">
        <v>15</v>
      </c>
      <c r="G94" s="58">
        <f>IF('1_採択区分・推計パターン選択'!$D$5="パターン②",IF('3_パターン②'!$E$5="","",VLOOKUP('3_パターン②'!$E$5,'（消費内訳）'!$B$6:$R$53,17,FALSE)),0)</f>
        <v>0</v>
      </c>
      <c r="I94" s="17" t="s">
        <v>15</v>
      </c>
      <c r="J94" s="56" t="str">
        <f>IF('1_採択区分・推計パターン選択'!$D$5="パターン②",C$88*$G94/SUM($G$88:$G$94),"")</f>
        <v/>
      </c>
      <c r="K94" s="56" t="str">
        <f>IF('1_採択区分・推計パターン選択'!$D$5="パターン②",D$88*$G94/SUM($G$88:$G$94),"")</f>
        <v/>
      </c>
      <c r="Q94" s="173"/>
      <c r="R94" s="71" t="s">
        <v>234</v>
      </c>
      <c r="S94" s="69">
        <f>IF('1_採択区分・推計パターン選択'!$D$4='（計算用1）'!$Q$60,'2_文化資源'!H38,0)</f>
        <v>0</v>
      </c>
    </row>
    <row r="95" spans="2:19" x14ac:dyDescent="0.2">
      <c r="Q95" s="67"/>
      <c r="R95" s="67"/>
      <c r="S95" s="67"/>
    </row>
    <row r="96" spans="2:19" x14ac:dyDescent="0.2">
      <c r="B96" t="s">
        <v>156</v>
      </c>
      <c r="Q96" s="66" t="s">
        <v>356</v>
      </c>
      <c r="R96" s="67"/>
      <c r="S96" s="67"/>
    </row>
    <row r="97" spans="2:30" x14ac:dyDescent="0.2">
      <c r="B97" s="155" t="s">
        <v>2</v>
      </c>
      <c r="C97" s="155" t="s">
        <v>0</v>
      </c>
      <c r="D97" s="155"/>
      <c r="E97" s="155" t="s">
        <v>1</v>
      </c>
      <c r="F97" s="155"/>
      <c r="G97" s="182" t="s">
        <v>157</v>
      </c>
      <c r="Q97" s="171" t="s">
        <v>358</v>
      </c>
      <c r="R97" s="71" t="s">
        <v>203</v>
      </c>
      <c r="S97" s="69">
        <f>IF('1_採択区分・推計パターン選択'!$D$4='（計算用1）'!$Q$96,'2_国際フェスティバル'!H5,0)</f>
        <v>0</v>
      </c>
      <c r="U97" s="54" t="s">
        <v>296</v>
      </c>
      <c r="V97" s="59">
        <f>S97+S113</f>
        <v>0</v>
      </c>
      <c r="W97" t="s">
        <v>393</v>
      </c>
      <c r="X97" s="54" t="s">
        <v>296</v>
      </c>
      <c r="Y97" s="77">
        <f>IF(V97=0,0,V97+$V$113*V97/SUM($V$97:$V$112))</f>
        <v>0</v>
      </c>
      <c r="Z97" t="s">
        <v>394</v>
      </c>
      <c r="AA97" t="s">
        <v>374</v>
      </c>
      <c r="AB97" t="s">
        <v>393</v>
      </c>
      <c r="AC97" s="76" t="s">
        <v>377</v>
      </c>
      <c r="AD97" s="75">
        <f>SUMIF($AA$97:$AA$112,AC97,$Y$97:$Y$112)</f>
        <v>0</v>
      </c>
    </row>
    <row r="98" spans="2:30" x14ac:dyDescent="0.2">
      <c r="B98" s="155"/>
      <c r="C98" s="12" t="s">
        <v>18</v>
      </c>
      <c r="D98" s="12" t="s">
        <v>19</v>
      </c>
      <c r="E98" s="12" t="s">
        <v>18</v>
      </c>
      <c r="F98" s="12" t="s">
        <v>19</v>
      </c>
      <c r="G98" s="182"/>
      <c r="Q98" s="172"/>
      <c r="R98" s="71" t="s">
        <v>204</v>
      </c>
      <c r="S98" s="69">
        <f>IF('1_採択区分・推計パターン選択'!$D$4='（計算用1）'!$Q$96,'2_国際フェスティバル'!H6,0)</f>
        <v>0</v>
      </c>
      <c r="U98" s="54" t="s">
        <v>297</v>
      </c>
      <c r="V98" s="59">
        <f t="shared" ref="V98:V111" si="13">S98+S114</f>
        <v>0</v>
      </c>
      <c r="X98" s="54" t="s">
        <v>297</v>
      </c>
      <c r="Y98" s="77">
        <f t="shared" ref="Y98:Y111" si="14">IF(V98=0,0,V98+$V$113*V98/SUM($V$97:$V$112))</f>
        <v>0</v>
      </c>
      <c r="Z98" t="s">
        <v>394</v>
      </c>
      <c r="AA98" t="s">
        <v>374</v>
      </c>
      <c r="AC98" s="76" t="s">
        <v>382</v>
      </c>
      <c r="AD98" s="75">
        <f t="shared" ref="AD98:AD105" si="15">SUMIF($AA$97:$AA$112,AC98,$Y$97:$Y$112)</f>
        <v>0</v>
      </c>
    </row>
    <row r="99" spans="2:30" x14ac:dyDescent="0.2">
      <c r="B99" s="17" t="s">
        <v>16</v>
      </c>
      <c r="C99" s="56">
        <f>IF('1_採択区分・推計パターン選択'!$D$5="パターン②",B$68*L78,0)</f>
        <v>0</v>
      </c>
      <c r="D99" s="56">
        <f>IF('1_採択区分・推計パターン選択'!$D$5="パターン②",C$68*M78,0)</f>
        <v>0</v>
      </c>
      <c r="E99" s="56">
        <f>IF('1_採択区分・推計パターン選択'!$D$5="パターン②",D$68*N78,0)</f>
        <v>0</v>
      </c>
      <c r="F99" s="56">
        <f>IF('1_採択区分・推計パターン選択'!$D$5="パターン②",E$68*O78,0)</f>
        <v>0</v>
      </c>
      <c r="G99" s="59">
        <f>SUM(C99:F99)</f>
        <v>0</v>
      </c>
      <c r="Q99" s="172"/>
      <c r="R99" s="71" t="s">
        <v>205</v>
      </c>
      <c r="S99" s="69">
        <f>IF('1_採択区分・推計パターン選択'!$D$4='（計算用1）'!$Q$96,'2_国際フェスティバル'!H7,0)</f>
        <v>0</v>
      </c>
      <c r="U99" s="54" t="s">
        <v>298</v>
      </c>
      <c r="V99" s="59">
        <f t="shared" si="13"/>
        <v>0</v>
      </c>
      <c r="X99" s="54" t="s">
        <v>298</v>
      </c>
      <c r="Y99" s="77">
        <f t="shared" si="14"/>
        <v>0</v>
      </c>
      <c r="Z99" t="s">
        <v>394</v>
      </c>
      <c r="AA99" t="s">
        <v>374</v>
      </c>
      <c r="AC99" s="76" t="s">
        <v>373</v>
      </c>
      <c r="AD99" s="75">
        <f t="shared" si="15"/>
        <v>0</v>
      </c>
    </row>
    <row r="100" spans="2:30" x14ac:dyDescent="0.2">
      <c r="B100" s="17" t="s">
        <v>11</v>
      </c>
      <c r="C100" s="56">
        <f>IF('1_採択区分・推計パターン選択'!$D$5="パターン②",B$68*L79,0)</f>
        <v>0</v>
      </c>
      <c r="D100" s="56">
        <f>IF('1_採択区分・推計パターン選択'!$D$5="パターン②",C$68*M79,0)</f>
        <v>0</v>
      </c>
      <c r="E100" s="56">
        <f>IF('1_採択区分・推計パターン選択'!$D$5="パターン②",D$68*N79,0)</f>
        <v>0</v>
      </c>
      <c r="F100" s="56">
        <f>IF('1_採択区分・推計パターン選択'!$D$5="パターン②",E$68*O79,0)</f>
        <v>0</v>
      </c>
      <c r="G100" s="59">
        <f t="shared" ref="G100:G105" si="16">SUM(C100:F100)</f>
        <v>0</v>
      </c>
      <c r="Q100" s="172"/>
      <c r="R100" s="71" t="s">
        <v>206</v>
      </c>
      <c r="S100" s="69">
        <f>IF('1_採択区分・推計パターン選択'!$D$4='（計算用1）'!$Q$96,'2_国際フェスティバル'!H8,0)</f>
        <v>0</v>
      </c>
      <c r="U100" s="54" t="s">
        <v>299</v>
      </c>
      <c r="V100" s="59">
        <f t="shared" si="13"/>
        <v>0</v>
      </c>
      <c r="X100" s="54" t="s">
        <v>299</v>
      </c>
      <c r="Y100" s="77">
        <f t="shared" si="14"/>
        <v>0</v>
      </c>
      <c r="Z100" t="s">
        <v>394</v>
      </c>
      <c r="AA100" t="s">
        <v>374</v>
      </c>
      <c r="AC100" s="76" t="s">
        <v>379</v>
      </c>
      <c r="AD100" s="75">
        <f t="shared" si="15"/>
        <v>0</v>
      </c>
    </row>
    <row r="101" spans="2:30" x14ac:dyDescent="0.2">
      <c r="B101" s="17" t="s">
        <v>12</v>
      </c>
      <c r="C101" s="56">
        <f>IF('1_採択区分・推計パターン選択'!$D$5="パターン②",B$68*L80,0)</f>
        <v>0</v>
      </c>
      <c r="D101" s="56">
        <f>IF('1_採択区分・推計パターン選択'!$D$5="パターン②",C$68*M80,0)</f>
        <v>0</v>
      </c>
      <c r="E101" s="56">
        <f>IF('1_採択区分・推計パターン選択'!$D$5="パターン②",D$68*N80,0)</f>
        <v>0</v>
      </c>
      <c r="F101" s="56">
        <f>IF('1_採択区分・推計パターン選択'!$D$5="パターン②",E$68*O80,0)</f>
        <v>0</v>
      </c>
      <c r="G101" s="59">
        <f t="shared" si="16"/>
        <v>0</v>
      </c>
      <c r="Q101" s="172"/>
      <c r="R101" s="71" t="s">
        <v>207</v>
      </c>
      <c r="S101" s="69">
        <f>IF('1_採択区分・推計パターン選択'!$D$4='（計算用1）'!$Q$96,'2_国際フェスティバル'!H9,0)</f>
        <v>0</v>
      </c>
      <c r="U101" s="54" t="s">
        <v>300</v>
      </c>
      <c r="V101" s="59">
        <f t="shared" si="13"/>
        <v>0</v>
      </c>
      <c r="X101" s="54" t="s">
        <v>300</v>
      </c>
      <c r="Y101" s="77">
        <f t="shared" si="14"/>
        <v>0</v>
      </c>
      <c r="Z101" t="s">
        <v>394</v>
      </c>
      <c r="AA101" t="s">
        <v>385</v>
      </c>
      <c r="AC101" s="76" t="s">
        <v>445</v>
      </c>
      <c r="AD101" s="75">
        <f t="shared" si="15"/>
        <v>0</v>
      </c>
    </row>
    <row r="102" spans="2:30" x14ac:dyDescent="0.2">
      <c r="B102" s="17" t="s">
        <v>13</v>
      </c>
      <c r="C102" s="56">
        <f>IF('1_採択区分・推計パターン選択'!$D$5="パターン②",B$68*L81,0)</f>
        <v>0</v>
      </c>
      <c r="D102" s="56">
        <f>IF('1_採択区分・推計パターン選択'!$D$5="パターン②",C$68*M81,0)</f>
        <v>0</v>
      </c>
      <c r="E102" s="56">
        <f>IF('1_採択区分・推計パターン選択'!$D$5="パターン②",D$68*N81,0)</f>
        <v>0</v>
      </c>
      <c r="F102" s="56">
        <f>IF('1_採択区分・推計パターン選択'!$D$5="パターン②",E$68*O81,0)</f>
        <v>0</v>
      </c>
      <c r="G102" s="59">
        <f t="shared" si="16"/>
        <v>0</v>
      </c>
      <c r="Q102" s="172"/>
      <c r="R102" s="71" t="s">
        <v>208</v>
      </c>
      <c r="S102" s="69">
        <f>IF('1_採択区分・推計パターン選択'!$D$4='（計算用1）'!$Q$96,'2_国際フェスティバル'!H10,0)</f>
        <v>0</v>
      </c>
      <c r="U102" s="54" t="s">
        <v>301</v>
      </c>
      <c r="V102" s="59">
        <f t="shared" si="13"/>
        <v>0</v>
      </c>
      <c r="X102" s="54" t="s">
        <v>301</v>
      </c>
      <c r="Y102" s="77">
        <f t="shared" si="14"/>
        <v>0</v>
      </c>
      <c r="Z102" t="s">
        <v>394</v>
      </c>
      <c r="AA102" t="s">
        <v>374</v>
      </c>
      <c r="AC102" s="76" t="s">
        <v>375</v>
      </c>
      <c r="AD102" s="75">
        <f t="shared" si="15"/>
        <v>0</v>
      </c>
    </row>
    <row r="103" spans="2:30" x14ac:dyDescent="0.2">
      <c r="B103" s="17" t="s">
        <v>17</v>
      </c>
      <c r="C103" s="56">
        <f>IF('1_採択区分・推計パターン選択'!$D$5="パターン②",B$68*L82,0)</f>
        <v>0</v>
      </c>
      <c r="D103" s="56">
        <f>IF('1_採択区分・推計パターン選択'!$D$5="パターン②",C$68*M82,0)</f>
        <v>0</v>
      </c>
      <c r="E103" s="56">
        <f>IF('1_採択区分・推計パターン選択'!$D$5="パターン②",D$68*N82,0)</f>
        <v>0</v>
      </c>
      <c r="F103" s="56">
        <f>IF('1_採択区分・推計パターン選択'!$D$5="パターン②",E$68*O82,0)</f>
        <v>0</v>
      </c>
      <c r="G103" s="59">
        <f t="shared" si="16"/>
        <v>0</v>
      </c>
      <c r="Q103" s="172"/>
      <c r="R103" s="71" t="s">
        <v>209</v>
      </c>
      <c r="S103" s="69">
        <f>IF('1_採択区分・推計パターン選択'!$D$4='（計算用1）'!$Q$96,'2_国際フェスティバル'!H11,0)</f>
        <v>0</v>
      </c>
      <c r="U103" s="54" t="s">
        <v>302</v>
      </c>
      <c r="V103" s="59">
        <f t="shared" si="13"/>
        <v>0</v>
      </c>
      <c r="X103" s="54" t="s">
        <v>302</v>
      </c>
      <c r="Y103" s="77">
        <f t="shared" si="14"/>
        <v>0</v>
      </c>
      <c r="Z103" t="s">
        <v>394</v>
      </c>
      <c r="AA103" t="s">
        <v>374</v>
      </c>
      <c r="AC103" s="76" t="s">
        <v>380</v>
      </c>
      <c r="AD103" s="75">
        <f t="shared" si="15"/>
        <v>0</v>
      </c>
    </row>
    <row r="104" spans="2:30" x14ac:dyDescent="0.2">
      <c r="B104" s="17" t="s">
        <v>14</v>
      </c>
      <c r="C104" s="56">
        <f>IF('1_採択区分・推計パターン選択'!$D$5="パターン②",B$68*L83,0)</f>
        <v>0</v>
      </c>
      <c r="D104" s="56">
        <f>IF('1_採択区分・推計パターン選択'!$D$5="パターン②",C$68*M83,0)</f>
        <v>0</v>
      </c>
      <c r="E104" s="56">
        <f>IF('1_採択区分・推計パターン選択'!$D$5="パターン②",D$68*N83,0)</f>
        <v>0</v>
      </c>
      <c r="F104" s="56">
        <f>IF('1_採択区分・推計パターン選択'!$D$5="パターン②",E$68*O83,0)</f>
        <v>0</v>
      </c>
      <c r="G104" s="59">
        <f t="shared" si="16"/>
        <v>0</v>
      </c>
      <c r="Q104" s="172"/>
      <c r="R104" s="71" t="s">
        <v>210</v>
      </c>
      <c r="S104" s="69">
        <f>IF('1_採択区分・推計パターン選択'!$D$4='（計算用1）'!$Q$96,'2_国際フェスティバル'!H12,0)</f>
        <v>0</v>
      </c>
      <c r="U104" s="54" t="s">
        <v>303</v>
      </c>
      <c r="V104" s="59">
        <f t="shared" si="13"/>
        <v>0</v>
      </c>
      <c r="X104" s="54" t="s">
        <v>303</v>
      </c>
      <c r="Y104" s="77">
        <f t="shared" si="14"/>
        <v>0</v>
      </c>
      <c r="Z104" t="s">
        <v>394</v>
      </c>
      <c r="AA104" t="s">
        <v>376</v>
      </c>
      <c r="AC104" s="76" t="s">
        <v>387</v>
      </c>
      <c r="AD104" s="75">
        <f t="shared" si="15"/>
        <v>0</v>
      </c>
    </row>
    <row r="105" spans="2:30" x14ac:dyDescent="0.2">
      <c r="B105" s="17" t="s">
        <v>15</v>
      </c>
      <c r="C105" s="56">
        <f>IF('1_採択区分・推計パターン選択'!$D$5="パターン②",B$68*L84,0)</f>
        <v>0</v>
      </c>
      <c r="D105" s="56">
        <f>IF('1_採択区分・推計パターン選択'!$D$5="パターン②",C$68*M84,0)</f>
        <v>0</v>
      </c>
      <c r="E105" s="56">
        <f>IF('1_採択区分・推計パターン選択'!$D$5="パターン②",D$68*N84,0)</f>
        <v>0</v>
      </c>
      <c r="F105" s="56">
        <f>IF('1_採択区分・推計パターン選択'!$D$5="パターン②",E$68*O84,0)</f>
        <v>0</v>
      </c>
      <c r="G105" s="59">
        <f t="shared" si="16"/>
        <v>0</v>
      </c>
      <c r="Q105" s="172"/>
      <c r="R105" s="71" t="s">
        <v>211</v>
      </c>
      <c r="S105" s="69">
        <f>IF('1_採択区分・推計パターン選択'!$D$4='（計算用1）'!$Q$96,'2_国際フェスティバル'!H13,0)</f>
        <v>0</v>
      </c>
      <c r="U105" s="54" t="s">
        <v>304</v>
      </c>
      <c r="V105" s="59">
        <f t="shared" si="13"/>
        <v>0</v>
      </c>
      <c r="X105" s="54" t="s">
        <v>304</v>
      </c>
      <c r="Y105" s="77">
        <f t="shared" si="14"/>
        <v>0</v>
      </c>
      <c r="Z105" t="s">
        <v>394</v>
      </c>
      <c r="AA105" t="s">
        <v>372</v>
      </c>
      <c r="AC105" s="54" t="s">
        <v>386</v>
      </c>
      <c r="AD105" s="75">
        <f t="shared" si="15"/>
        <v>0</v>
      </c>
    </row>
    <row r="106" spans="2:30" x14ac:dyDescent="0.2">
      <c r="Q106" s="172"/>
      <c r="R106" s="71" t="s">
        <v>212</v>
      </c>
      <c r="S106" s="69">
        <f>IF('1_採択区分・推計パターン選択'!$D$4='（計算用1）'!$Q$96,'2_国際フェスティバル'!H14,0)</f>
        <v>0</v>
      </c>
      <c r="U106" s="54" t="s">
        <v>239</v>
      </c>
      <c r="V106" s="59">
        <f t="shared" si="13"/>
        <v>0</v>
      </c>
      <c r="X106" s="54" t="s">
        <v>239</v>
      </c>
      <c r="Y106" s="77">
        <f t="shared" si="14"/>
        <v>0</v>
      </c>
      <c r="Z106" t="s">
        <v>394</v>
      </c>
      <c r="AA106" t="s">
        <v>376</v>
      </c>
    </row>
    <row r="107" spans="2:30" x14ac:dyDescent="0.2">
      <c r="B107" s="12" t="s">
        <v>151</v>
      </c>
      <c r="C107" s="23" t="s">
        <v>18</v>
      </c>
      <c r="D107" s="23" t="s">
        <v>19</v>
      </c>
      <c r="E107" s="60" t="s">
        <v>157</v>
      </c>
      <c r="Q107" s="172"/>
      <c r="R107" s="71" t="s">
        <v>213</v>
      </c>
      <c r="S107" s="69">
        <f>IF('1_採択区分・推計パターン選択'!$D$4='（計算用1）'!$Q$96,'2_国際フェスティバル'!H15,0)</f>
        <v>0</v>
      </c>
      <c r="U107" s="54" t="s">
        <v>305</v>
      </c>
      <c r="V107" s="59">
        <f t="shared" si="13"/>
        <v>0</v>
      </c>
      <c r="X107" s="54" t="s">
        <v>305</v>
      </c>
      <c r="Y107" s="77">
        <f t="shared" si="14"/>
        <v>0</v>
      </c>
      <c r="Z107" t="s">
        <v>394</v>
      </c>
      <c r="AA107" t="s">
        <v>374</v>
      </c>
    </row>
    <row r="108" spans="2:30" x14ac:dyDescent="0.2">
      <c r="B108" s="17" t="s">
        <v>16</v>
      </c>
      <c r="C108" s="56" t="str">
        <f>IF('1_採択区分・推計パターン選択'!$D$5="パターン②",C$73*J88,"")</f>
        <v/>
      </c>
      <c r="D108" s="56" t="str">
        <f>IF('1_採択区分・推計パターン選択'!$D$5="パターン②",D$73*K88,"")</f>
        <v/>
      </c>
      <c r="E108" s="59">
        <f>SUM(C108:D108)</f>
        <v>0</v>
      </c>
      <c r="Q108" s="172"/>
      <c r="R108" s="71" t="s">
        <v>214</v>
      </c>
      <c r="S108" s="69">
        <f>IF('1_採択区分・推計パターン選択'!$D$4='（計算用1）'!$Q$96,'2_国際フェスティバル'!H16,0)</f>
        <v>0</v>
      </c>
      <c r="U108" s="54" t="s">
        <v>306</v>
      </c>
      <c r="V108" s="59">
        <f t="shared" si="13"/>
        <v>0</v>
      </c>
      <c r="X108" s="54" t="s">
        <v>306</v>
      </c>
      <c r="Y108" s="77">
        <f t="shared" si="14"/>
        <v>0</v>
      </c>
      <c r="Z108" t="s">
        <v>394</v>
      </c>
      <c r="AA108" t="s">
        <v>374</v>
      </c>
    </row>
    <row r="109" spans="2:30" x14ac:dyDescent="0.2">
      <c r="B109" s="17" t="s">
        <v>11</v>
      </c>
      <c r="C109" s="56" t="str">
        <f>IF('1_採択区分・推計パターン選択'!$D$5="パターン②",C$73*J89,"")</f>
        <v/>
      </c>
      <c r="D109" s="56" t="str">
        <f>IF('1_採択区分・推計パターン選択'!$D$5="パターン②",D$73*K89,"")</f>
        <v/>
      </c>
      <c r="E109" s="59">
        <f t="shared" ref="E109:E114" si="17">SUM(C109:D109)</f>
        <v>0</v>
      </c>
      <c r="Q109" s="172"/>
      <c r="R109" s="71" t="s">
        <v>215</v>
      </c>
      <c r="S109" s="69">
        <f>IF('1_採択区分・推計パターン選択'!$D$4='（計算用1）'!$Q$96,'2_国際フェスティバル'!H17,0)</f>
        <v>0</v>
      </c>
      <c r="U109" s="54" t="s">
        <v>307</v>
      </c>
      <c r="V109" s="59">
        <f t="shared" si="13"/>
        <v>0</v>
      </c>
      <c r="X109" s="54" t="s">
        <v>307</v>
      </c>
      <c r="Y109" s="77">
        <f t="shared" si="14"/>
        <v>0</v>
      </c>
      <c r="Z109" t="s">
        <v>394</v>
      </c>
      <c r="AA109" t="s">
        <v>445</v>
      </c>
    </row>
    <row r="110" spans="2:30" x14ac:dyDescent="0.2">
      <c r="B110" s="17" t="s">
        <v>12</v>
      </c>
      <c r="C110" s="56" t="str">
        <f>IF('1_採択区分・推計パターン選択'!$D$5="パターン②",C$73*J90,"")</f>
        <v/>
      </c>
      <c r="D110" s="56" t="str">
        <f>IF('1_採択区分・推計パターン選択'!$D$5="パターン②",D$73*K90,"")</f>
        <v/>
      </c>
      <c r="E110" s="59">
        <f t="shared" si="17"/>
        <v>0</v>
      </c>
      <c r="Q110" s="172"/>
      <c r="R110" s="71" t="s">
        <v>216</v>
      </c>
      <c r="S110" s="69">
        <f>IF('1_採択区分・推計パターン選択'!$D$4='（計算用1）'!$Q$96,'2_国際フェスティバル'!H18,0)</f>
        <v>0</v>
      </c>
      <c r="U110" s="54" t="s">
        <v>308</v>
      </c>
      <c r="V110" s="59">
        <f t="shared" si="13"/>
        <v>0</v>
      </c>
      <c r="X110" s="54" t="s">
        <v>308</v>
      </c>
      <c r="Y110" s="77">
        <f t="shared" si="14"/>
        <v>0</v>
      </c>
      <c r="Z110" t="s">
        <v>394</v>
      </c>
      <c r="AA110" t="s">
        <v>380</v>
      </c>
    </row>
    <row r="111" spans="2:30" x14ac:dyDescent="0.2">
      <c r="B111" s="17" t="s">
        <v>13</v>
      </c>
      <c r="C111" s="56" t="str">
        <f>IF('1_採択区分・推計パターン選択'!$D$5="パターン②",C$73*J91,"")</f>
        <v/>
      </c>
      <c r="D111" s="56" t="str">
        <f>IF('1_採択区分・推計パターン選択'!$D$5="パターン②",D$73*K91,"")</f>
        <v/>
      </c>
      <c r="E111" s="59">
        <f t="shared" si="17"/>
        <v>0</v>
      </c>
      <c r="Q111" s="172"/>
      <c r="R111" s="71" t="s">
        <v>217</v>
      </c>
      <c r="S111" s="69">
        <f>IF('1_採択区分・推計パターン選択'!$D$4='（計算用1）'!$Q$96,'2_国際フェスティバル'!H19,0)</f>
        <v>0</v>
      </c>
      <c r="U111" s="54" t="s">
        <v>309</v>
      </c>
      <c r="V111" s="59">
        <f t="shared" si="13"/>
        <v>0</v>
      </c>
      <c r="X111" s="54" t="s">
        <v>309</v>
      </c>
      <c r="Y111" s="77">
        <f t="shared" si="14"/>
        <v>0</v>
      </c>
      <c r="Z111" t="s">
        <v>394</v>
      </c>
      <c r="AA111" t="s">
        <v>374</v>
      </c>
    </row>
    <row r="112" spans="2:30" x14ac:dyDescent="0.2">
      <c r="B112" s="17" t="s">
        <v>17</v>
      </c>
      <c r="C112" s="56" t="str">
        <f>IF('1_採択区分・推計パターン選択'!$D$5="パターン②",C$73*J92,"")</f>
        <v/>
      </c>
      <c r="D112" s="56" t="str">
        <f>IF('1_採択区分・推計パターン選択'!$D$5="パターン②",D$73*K92,"")</f>
        <v/>
      </c>
      <c r="E112" s="59">
        <f t="shared" si="17"/>
        <v>0</v>
      </c>
      <c r="Q112" s="173"/>
      <c r="R112" s="71" t="s">
        <v>218</v>
      </c>
      <c r="S112" s="69">
        <f>IF('1_採択区分・推計パターン選択'!$D$4='（計算用1）'!$Q$96,'2_国際フェスティバル'!H20,0)</f>
        <v>0</v>
      </c>
      <c r="U112" s="54" t="s">
        <v>398</v>
      </c>
      <c r="V112" s="59">
        <f>S128</f>
        <v>0</v>
      </c>
      <c r="X112" s="54" t="s">
        <v>398</v>
      </c>
      <c r="Y112" s="77">
        <f>IF(V112=0,0,V112+$V$113*V112/SUM($V$97:$V$112))</f>
        <v>0</v>
      </c>
      <c r="Z112" t="s">
        <v>394</v>
      </c>
      <c r="AA112" t="s">
        <v>387</v>
      </c>
    </row>
    <row r="113" spans="2:22" x14ac:dyDescent="0.2">
      <c r="B113" s="17" t="s">
        <v>14</v>
      </c>
      <c r="C113" s="56" t="str">
        <f>IF('1_採択区分・推計パターン選択'!$D$5="パターン②",C$73*J93,"")</f>
        <v/>
      </c>
      <c r="D113" s="56" t="str">
        <f>IF('1_採択区分・推計パターン選択'!$D$5="パターン②",D$73*K93,"")</f>
        <v/>
      </c>
      <c r="E113" s="59">
        <f t="shared" si="17"/>
        <v>0</v>
      </c>
      <c r="Q113" s="171" t="s">
        <v>363</v>
      </c>
      <c r="R113" s="71" t="s">
        <v>220</v>
      </c>
      <c r="S113" s="69">
        <f>IF('1_採択区分・推計パターン選択'!$D$4='（計算用1）'!$Q$96,'2_国際フェスティバル'!H21,0)</f>
        <v>0</v>
      </c>
      <c r="U113" s="54" t="s">
        <v>399</v>
      </c>
      <c r="V113" s="59">
        <f>S112+S129</f>
        <v>0</v>
      </c>
    </row>
    <row r="114" spans="2:22" x14ac:dyDescent="0.2">
      <c r="B114" s="17" t="s">
        <v>15</v>
      </c>
      <c r="C114" s="56" t="str">
        <f>IF('1_採択区分・推計パターン選択'!$D$5="パターン②",C$73*J94,"")</f>
        <v/>
      </c>
      <c r="D114" s="56" t="str">
        <f>IF('1_採択区分・推計パターン選択'!$D$5="パターン②",D$73*K94,"")</f>
        <v/>
      </c>
      <c r="E114" s="59">
        <f t="shared" si="17"/>
        <v>0</v>
      </c>
      <c r="Q114" s="172"/>
      <c r="R114" s="71" t="s">
        <v>221</v>
      </c>
      <c r="S114" s="69">
        <f>IF('1_採択区分・推計パターン選択'!$D$4='（計算用1）'!$Q$96,'2_国際フェスティバル'!H22,0)</f>
        <v>0</v>
      </c>
    </row>
    <row r="115" spans="2:22" x14ac:dyDescent="0.2">
      <c r="Q115" s="172"/>
      <c r="R115" s="71" t="s">
        <v>222</v>
      </c>
      <c r="S115" s="69">
        <f>IF('1_採択区分・推計パターン選択'!$D$4='（計算用1）'!$Q$96,'2_国際フェスティバル'!H23,0)</f>
        <v>0</v>
      </c>
    </row>
    <row r="116" spans="2:22" x14ac:dyDescent="0.2">
      <c r="B116" s="60"/>
      <c r="C116" s="61" t="s">
        <v>158</v>
      </c>
      <c r="Q116" s="172"/>
      <c r="R116" s="71" t="s">
        <v>223</v>
      </c>
      <c r="S116" s="69">
        <f>IF('1_採択区分・推計パターン選択'!$D$4='（計算用1）'!$Q$96,'2_国際フェスティバル'!H24,0)</f>
        <v>0</v>
      </c>
    </row>
    <row r="117" spans="2:22" x14ac:dyDescent="0.2">
      <c r="B117" s="17" t="s">
        <v>16</v>
      </c>
      <c r="C117" s="59">
        <f>G99+E108</f>
        <v>0</v>
      </c>
      <c r="Q117" s="172"/>
      <c r="R117" s="71" t="s">
        <v>224</v>
      </c>
      <c r="S117" s="69">
        <f>IF('1_採択区分・推計パターン選択'!$D$4='（計算用1）'!$Q$96,'2_国際フェスティバル'!H25,0)</f>
        <v>0</v>
      </c>
    </row>
    <row r="118" spans="2:22" x14ac:dyDescent="0.2">
      <c r="B118" s="17" t="s">
        <v>11</v>
      </c>
      <c r="C118" s="59">
        <f t="shared" ref="C118:C123" si="18">G100+E109</f>
        <v>0</v>
      </c>
      <c r="Q118" s="172"/>
      <c r="R118" s="71" t="s">
        <v>225</v>
      </c>
      <c r="S118" s="69">
        <f>IF('1_採択区分・推計パターン選択'!$D$4='（計算用1）'!$Q$96,'2_国際フェスティバル'!H26,0)</f>
        <v>0</v>
      </c>
    </row>
    <row r="119" spans="2:22" x14ac:dyDescent="0.2">
      <c r="B119" s="17" t="s">
        <v>12</v>
      </c>
      <c r="C119" s="59">
        <f t="shared" si="18"/>
        <v>0</v>
      </c>
      <c r="Q119" s="172"/>
      <c r="R119" s="71" t="s">
        <v>226</v>
      </c>
      <c r="S119" s="69">
        <f>IF('1_採択区分・推計パターン選択'!$D$4='（計算用1）'!$Q$96,'2_国際フェスティバル'!H27,0)</f>
        <v>0</v>
      </c>
    </row>
    <row r="120" spans="2:22" x14ac:dyDescent="0.2">
      <c r="B120" s="17" t="s">
        <v>13</v>
      </c>
      <c r="C120" s="59">
        <f t="shared" si="18"/>
        <v>0</v>
      </c>
      <c r="Q120" s="172"/>
      <c r="R120" s="71" t="s">
        <v>227</v>
      </c>
      <c r="S120" s="69">
        <f>IF('1_採択区分・推計パターン選択'!$D$4='（計算用1）'!$Q$96,'2_国際フェスティバル'!H28,0)</f>
        <v>0</v>
      </c>
    </row>
    <row r="121" spans="2:22" x14ac:dyDescent="0.2">
      <c r="B121" s="17" t="s">
        <v>17</v>
      </c>
      <c r="C121" s="59">
        <f t="shared" si="18"/>
        <v>0</v>
      </c>
      <c r="Q121" s="172"/>
      <c r="R121" s="71" t="s">
        <v>228</v>
      </c>
      <c r="S121" s="69">
        <f>IF('1_採択区分・推計パターン選択'!$D$4='（計算用1）'!$Q$96,'2_国際フェスティバル'!H29,0)</f>
        <v>0</v>
      </c>
    </row>
    <row r="122" spans="2:22" x14ac:dyDescent="0.2">
      <c r="B122" s="17" t="s">
        <v>14</v>
      </c>
      <c r="C122" s="59">
        <f t="shared" si="18"/>
        <v>0</v>
      </c>
      <c r="Q122" s="172"/>
      <c r="R122" s="71" t="s">
        <v>170</v>
      </c>
      <c r="S122" s="69">
        <f>IF('1_採択区分・推計パターン選択'!$D$4='（計算用1）'!$Q$96,'2_国際フェスティバル'!H30,0)</f>
        <v>0</v>
      </c>
    </row>
    <row r="123" spans="2:22" x14ac:dyDescent="0.2">
      <c r="B123" s="17" t="s">
        <v>15</v>
      </c>
      <c r="C123" s="59">
        <f t="shared" si="18"/>
        <v>0</v>
      </c>
      <c r="Q123" s="172"/>
      <c r="R123" s="71" t="s">
        <v>169</v>
      </c>
      <c r="S123" s="69">
        <f>IF('1_採択区分・推計パターン選択'!$D$4='（計算用1）'!$Q$96,'2_国際フェスティバル'!H31,0)</f>
        <v>0</v>
      </c>
    </row>
    <row r="124" spans="2:22" x14ac:dyDescent="0.2">
      <c r="Q124" s="172"/>
      <c r="R124" s="71" t="s">
        <v>229</v>
      </c>
      <c r="S124" s="69">
        <f>IF('1_採択区分・推計パターン選択'!$D$4='（計算用1）'!$Q$96,'2_国際フェスティバル'!H32,0)</f>
        <v>0</v>
      </c>
    </row>
    <row r="125" spans="2:22" x14ac:dyDescent="0.2">
      <c r="B125" s="1" t="s">
        <v>112</v>
      </c>
      <c r="Q125" s="172"/>
      <c r="R125" s="71" t="s">
        <v>230</v>
      </c>
      <c r="S125" s="69">
        <f>IF('1_採択区分・推計パターン選択'!$D$4='（計算用1）'!$Q$96,'2_国際フェスティバル'!H33,0)</f>
        <v>0</v>
      </c>
    </row>
    <row r="126" spans="2:22" x14ac:dyDescent="0.2">
      <c r="B126" t="s">
        <v>117</v>
      </c>
      <c r="Q126" s="172"/>
      <c r="R126" s="71" t="s">
        <v>231</v>
      </c>
      <c r="S126" s="69">
        <f>IF('1_採択区分・推計パターン選択'!$D$4='（計算用1）'!$Q$96,'2_国際フェスティバル'!H34,0)</f>
        <v>0</v>
      </c>
    </row>
    <row r="127" spans="2:22" x14ac:dyDescent="0.2">
      <c r="B127" s="54" t="s">
        <v>150</v>
      </c>
      <c r="C127" s="54" t="s">
        <v>3</v>
      </c>
      <c r="Q127" s="172"/>
      <c r="R127" s="71" t="s">
        <v>232</v>
      </c>
      <c r="S127" s="69">
        <f>IF('1_採択区分・推計パターン選択'!$D$4='（計算用1）'!$Q$96,'2_国際フェスティバル'!H35,0)</f>
        <v>0</v>
      </c>
    </row>
    <row r="128" spans="2:22" x14ac:dyDescent="0.2">
      <c r="B128" s="55">
        <f>IF('1_採択区分・推計パターン選択'!$D$5="パターン③",'3_パターン③'!$H$13,0)</f>
        <v>0</v>
      </c>
      <c r="C128" s="55">
        <f>IF('1_採択区分・推計パターン選択'!$D$5="パターン③",'3_パターン③'!$H$14,0)</f>
        <v>0</v>
      </c>
      <c r="Q128" s="172"/>
      <c r="R128" s="71" t="s">
        <v>235</v>
      </c>
      <c r="S128" s="69">
        <f>IF('1_採択区分・推計パターン選択'!$D$4='（計算用1）'!$Q$96,'2_国際フェスティバル'!H36,0)</f>
        <v>0</v>
      </c>
    </row>
    <row r="129" spans="2:30" x14ac:dyDescent="0.2">
      <c r="Q129" s="173"/>
      <c r="R129" s="71" t="s">
        <v>236</v>
      </c>
      <c r="S129" s="69">
        <f>IF('1_採択区分・推計パターン選択'!$D$4='（計算用1）'!$Q$96,'2_国際フェスティバル'!H37,0)</f>
        <v>0</v>
      </c>
    </row>
    <row r="130" spans="2:30" x14ac:dyDescent="0.2">
      <c r="B130" s="179"/>
      <c r="C130" s="155" t="s">
        <v>2</v>
      </c>
      <c r="D130" s="155"/>
      <c r="E130" s="155"/>
      <c r="F130" s="155"/>
      <c r="G130" s="179" t="s">
        <v>3</v>
      </c>
      <c r="H130" s="179"/>
      <c r="Q130" s="67"/>
      <c r="R130" s="67"/>
      <c r="S130" s="67"/>
    </row>
    <row r="131" spans="2:30" x14ac:dyDescent="0.2">
      <c r="B131" s="179"/>
      <c r="C131" s="155" t="s">
        <v>0</v>
      </c>
      <c r="D131" s="155"/>
      <c r="E131" s="155" t="s">
        <v>1</v>
      </c>
      <c r="F131" s="155"/>
      <c r="G131" s="155" t="s">
        <v>18</v>
      </c>
      <c r="H131" s="155" t="s">
        <v>19</v>
      </c>
      <c r="Q131" s="70" t="s">
        <v>114</v>
      </c>
      <c r="R131" s="67"/>
      <c r="S131" s="67"/>
      <c r="X131" s="74" t="s">
        <v>403</v>
      </c>
    </row>
    <row r="132" spans="2:30" x14ac:dyDescent="0.2">
      <c r="B132" s="179"/>
      <c r="C132" s="12" t="s">
        <v>18</v>
      </c>
      <c r="D132" s="12" t="s">
        <v>19</v>
      </c>
      <c r="E132" s="12" t="s">
        <v>18</v>
      </c>
      <c r="F132" s="12" t="s">
        <v>19</v>
      </c>
      <c r="G132" s="155"/>
      <c r="H132" s="155"/>
      <c r="Q132" s="171" t="s">
        <v>364</v>
      </c>
      <c r="R132" s="71" t="s">
        <v>350</v>
      </c>
      <c r="S132" s="69">
        <f>IF('1_採択区分・推計パターン選択'!$D$4='（計算用1）'!$Q$131,'2_地域ゆかり'!H5,0)</f>
        <v>0</v>
      </c>
      <c r="T132" s="74" t="s">
        <v>369</v>
      </c>
      <c r="U132" s="74" t="s">
        <v>369</v>
      </c>
      <c r="V132" s="74" t="s">
        <v>369</v>
      </c>
      <c r="W132" s="74" t="s">
        <v>369</v>
      </c>
      <c r="X132" s="76" t="s">
        <v>404</v>
      </c>
      <c r="Y132" s="69">
        <f>IF(S132=0,0,S132+$S$139*S132/SUM($S$132,$S$134:$S$138,$S$140:$S$142))</f>
        <v>0</v>
      </c>
      <c r="Z132" t="s">
        <v>394</v>
      </c>
      <c r="AA132" t="s">
        <v>374</v>
      </c>
      <c r="AC132" s="76" t="s">
        <v>377</v>
      </c>
      <c r="AD132" s="75">
        <f>SUMIF($AA$132:$AA$141,AC132,$Y$132:$Y$141)</f>
        <v>0</v>
      </c>
    </row>
    <row r="133" spans="2:30" x14ac:dyDescent="0.2">
      <c r="B133" s="57" t="s">
        <v>152</v>
      </c>
      <c r="C133" s="55">
        <f>IF('1_採択区分・推計パターン選択'!$D$5="パターン③",IF('3_パターン③'!$E$5="","",VLOOKUP('3_パターン③'!$E$5,'（入込数）'!$B$6:$N$52,2,FALSE)),0)</f>
        <v>0</v>
      </c>
      <c r="D133" s="55">
        <f>IF('1_採択区分・推計パターン選択'!$D$5="パターン③",IF('3_パターン③'!$E$5="","",VLOOKUP('3_パターン③'!$E$5,'（入込数）'!$B$6:$N$52,3,FALSE)),0)</f>
        <v>0</v>
      </c>
      <c r="E133" s="55">
        <f>IF('1_採択区分・推計パターン選択'!$D$5="パターン③",IF('3_パターン③'!$E$5="","",VLOOKUP('3_パターン③'!$E$5,'（入込数）'!$B$6:$N$52,4,FALSE)),0)</f>
        <v>0</v>
      </c>
      <c r="F133" s="55">
        <f>IF('1_採択区分・推計パターン選択'!$D$5="パターン③",IF('3_パターン③'!$E$5="","",VLOOKUP('3_パターン③'!$E$5,'（入込数）'!$B$6:$N$52,5,FALSE)),0)</f>
        <v>0</v>
      </c>
      <c r="G133" s="55">
        <f>IF('1_採択区分・推計パターン選択'!$D$5="パターン③",IF('3_パターン③'!$E$5="","",VLOOKUP('3_パターン③'!$E$5,'（入込数）'!$B$6:$N$52,10,FALSE)),0)</f>
        <v>0</v>
      </c>
      <c r="H133" s="55">
        <f>IF('1_採択区分・推計パターン選択'!$D$5="パターン③",IF('3_パターン③'!$E$5="","",VLOOKUP('3_パターン③'!$E$5,'（入込数）'!$B$6:$N$52,11,FALSE)),0)</f>
        <v>0</v>
      </c>
      <c r="Q133" s="172"/>
      <c r="R133" s="72" t="s">
        <v>252</v>
      </c>
      <c r="S133" s="69">
        <f>IF('1_採択区分・推計パターン選択'!$D$4='（計算用1）'!$Q$131,'2_地域ゆかり'!H6,0)</f>
        <v>0</v>
      </c>
      <c r="X133" s="76" t="s">
        <v>252</v>
      </c>
      <c r="Y133" s="69">
        <f>IF(S133=0,0,S133)</f>
        <v>0</v>
      </c>
      <c r="Z133" t="s">
        <v>394</v>
      </c>
      <c r="AA133" s="74" t="s">
        <v>372</v>
      </c>
      <c r="AC133" s="76" t="s">
        <v>382</v>
      </c>
      <c r="AD133" s="75">
        <f t="shared" ref="AD133:AD140" si="19">SUMIF($AA$132:$AA$141,AC133,$Y$132:$Y$141)</f>
        <v>0</v>
      </c>
    </row>
    <row r="134" spans="2:30" x14ac:dyDescent="0.2">
      <c r="B134" s="57" t="s">
        <v>153</v>
      </c>
      <c r="C134" s="64" t="str">
        <f>IF('1_採択区分・推計パターン選択'!$D$5="パターン③",IF(C133="",0,C133/SUM($C$133:$F$133)),"")</f>
        <v/>
      </c>
      <c r="D134" s="64" t="str">
        <f>IF('1_採択区分・推計パターン選択'!$D$5="パターン③",IF(D133="",0,D133/SUM($C$133:$F$133)),"")</f>
        <v/>
      </c>
      <c r="E134" s="64" t="str">
        <f>IF('1_採択区分・推計パターン選択'!$D$5="パターン③",IF(E133="",0,E133/SUM($C$133:$F$133)),"")</f>
        <v/>
      </c>
      <c r="F134" s="64" t="str">
        <f>IF('1_採択区分・推計パターン選択'!$D$5="パターン③",IF(F133="",0,F133/SUM($C$133:$F$133)),"")</f>
        <v/>
      </c>
      <c r="G134" s="64" t="str">
        <f>IF('1_採択区分・推計パターン選択'!$D$5="パターン③",IF(G133="",0,G133/SUM($G$133:$H$133)),"")</f>
        <v/>
      </c>
      <c r="H134" s="64" t="str">
        <f>IF('1_採択区分・推計パターン選択'!$D$5="パターン③",IF(H133="",0,H133/SUM($G$133:$H$133)),"")</f>
        <v/>
      </c>
      <c r="Q134" s="172"/>
      <c r="R134" s="72" t="s">
        <v>351</v>
      </c>
      <c r="S134" s="69">
        <f>IF('1_採択区分・推計パターン選択'!$D$4='（計算用1）'!$Q$131,'2_地域ゆかり'!H7,0)</f>
        <v>0</v>
      </c>
      <c r="X134" s="76" t="s">
        <v>351</v>
      </c>
      <c r="Y134" s="69">
        <f>IF(S132=0,0,S134+$S$139*S134/SUM($S$132,$S$134:$S$138,$S$140:$S$142))</f>
        <v>0</v>
      </c>
      <c r="Z134" t="s">
        <v>394</v>
      </c>
      <c r="AA134" t="s">
        <v>381</v>
      </c>
      <c r="AC134" s="76" t="s">
        <v>373</v>
      </c>
      <c r="AD134" s="75">
        <f t="shared" si="19"/>
        <v>0</v>
      </c>
    </row>
    <row r="135" spans="2:30" x14ac:dyDescent="0.2">
      <c r="B135" s="57" t="s">
        <v>154</v>
      </c>
      <c r="C135" s="55" t="str">
        <f>IF('1_採択区分・推計パターン選択'!$D$5="パターン③",$B$128*C134,"")</f>
        <v/>
      </c>
      <c r="D135" s="55" t="str">
        <f>IF('1_採択区分・推計パターン選択'!$D$5="パターン③",$B$128*D134,"")</f>
        <v/>
      </c>
      <c r="E135" s="55" t="str">
        <f>IF('1_採択区分・推計パターン選択'!$D$5="パターン③",$B$128*E134,"")</f>
        <v/>
      </c>
      <c r="F135" s="55" t="str">
        <f>IF('1_採択区分・推計パターン選択'!$D$5="パターン③",$B$128*F134,"")</f>
        <v/>
      </c>
      <c r="G135" s="55" t="str">
        <f>IF('1_採択区分・推計パターン選択'!$D$5="パターン③",$C$128*G134,"")</f>
        <v/>
      </c>
      <c r="H135" s="55" t="str">
        <f>IF('1_採択区分・推計パターン選択'!$D$5="パターン③",$C$128*H134,"")</f>
        <v/>
      </c>
      <c r="Q135" s="172"/>
      <c r="R135" s="72" t="s">
        <v>346</v>
      </c>
      <c r="S135" s="69">
        <f>IF('1_採択区分・推計パターン選択'!$D$4='（計算用1）'!$Q$131,'2_地域ゆかり'!H8,0)</f>
        <v>0</v>
      </c>
      <c r="X135" s="76" t="s">
        <v>346</v>
      </c>
      <c r="Y135" s="69">
        <f>IF(S133=0,0,S135+$S$139*S135/SUM($S$132,$S$134:$S$138,$S$140:$S$142))</f>
        <v>0</v>
      </c>
      <c r="Z135" s="74" t="s">
        <v>371</v>
      </c>
      <c r="AA135" t="s">
        <v>374</v>
      </c>
      <c r="AC135" s="76" t="s">
        <v>379</v>
      </c>
      <c r="AD135" s="75">
        <f t="shared" si="19"/>
        <v>0</v>
      </c>
    </row>
    <row r="136" spans="2:30" x14ac:dyDescent="0.2">
      <c r="C136" s="63"/>
      <c r="D136" s="63"/>
      <c r="E136" s="63"/>
      <c r="F136" s="63"/>
      <c r="G136" s="63"/>
      <c r="H136" s="63"/>
      <c r="Q136" s="172"/>
      <c r="R136" s="72" t="s">
        <v>347</v>
      </c>
      <c r="S136" s="69">
        <f>IF('1_採択区分・推計パターン選択'!$D$4='（計算用1）'!$Q$131,'2_地域ゆかり'!H9,0)</f>
        <v>0</v>
      </c>
      <c r="X136" s="76" t="s">
        <v>347</v>
      </c>
      <c r="Y136" s="69">
        <f>IF(S134=0,0,S136+$S$139*S136/SUM($S$132,$S$134:$S$138,$S$140:$S$142))</f>
        <v>0</v>
      </c>
      <c r="Z136" t="s">
        <v>394</v>
      </c>
      <c r="AA136" t="s">
        <v>376</v>
      </c>
      <c r="AC136" s="76" t="s">
        <v>445</v>
      </c>
      <c r="AD136" s="75">
        <f t="shared" si="19"/>
        <v>0</v>
      </c>
    </row>
    <row r="137" spans="2:30" x14ac:dyDescent="0.2">
      <c r="B137" t="s">
        <v>118</v>
      </c>
      <c r="Q137" s="172"/>
      <c r="R137" s="72" t="s">
        <v>349</v>
      </c>
      <c r="S137" s="69">
        <f>IF('1_採択区分・推計パターン選択'!$D$4='（計算用1）'!$Q$131,'2_地域ゆかり'!H10,0)</f>
        <v>0</v>
      </c>
      <c r="X137" s="76" t="s">
        <v>349</v>
      </c>
      <c r="Y137" s="69">
        <f>IF(S135=0,0,S137+$S$139*S137/SUM($S$132,$S$134:$S$138,$S$140:$S$142))</f>
        <v>0</v>
      </c>
      <c r="Z137" t="s">
        <v>394</v>
      </c>
      <c r="AA137" t="s">
        <v>374</v>
      </c>
      <c r="AC137" s="76" t="s">
        <v>375</v>
      </c>
      <c r="AD137" s="75">
        <f t="shared" si="19"/>
        <v>0</v>
      </c>
    </row>
    <row r="138" spans="2:30" x14ac:dyDescent="0.2">
      <c r="B138" s="152" t="s">
        <v>2</v>
      </c>
      <c r="C138" s="155" t="s">
        <v>0</v>
      </c>
      <c r="D138" s="155"/>
      <c r="E138" s="155" t="s">
        <v>1</v>
      </c>
      <c r="F138" s="155"/>
      <c r="H138" s="179" t="s">
        <v>2</v>
      </c>
      <c r="I138" s="179"/>
      <c r="K138" s="179" t="s">
        <v>2</v>
      </c>
      <c r="L138" s="155" t="s">
        <v>0</v>
      </c>
      <c r="M138" s="155"/>
      <c r="N138" s="155" t="s">
        <v>1</v>
      </c>
      <c r="O138" s="155"/>
      <c r="Q138" s="172"/>
      <c r="R138" s="72" t="s">
        <v>348</v>
      </c>
      <c r="S138" s="69">
        <f>IF('1_採択区分・推計パターン選択'!$D$4='（計算用1）'!$Q$131,'2_地域ゆかり'!H11,0)</f>
        <v>0</v>
      </c>
      <c r="X138" s="76" t="s">
        <v>348</v>
      </c>
      <c r="Y138" s="69">
        <f>IF(S136=0,0,S138+$S$139*S138/SUM($S$132,$S$134:$S$138,$S$140:$S$142))</f>
        <v>0</v>
      </c>
      <c r="Z138" t="s">
        <v>394</v>
      </c>
      <c r="AA138" t="s">
        <v>374</v>
      </c>
      <c r="AC138" s="76" t="s">
        <v>380</v>
      </c>
      <c r="AD138" s="75">
        <f t="shared" si="19"/>
        <v>0</v>
      </c>
    </row>
    <row r="139" spans="2:30" x14ac:dyDescent="0.2">
      <c r="B139" s="153"/>
      <c r="C139" s="12" t="s">
        <v>18</v>
      </c>
      <c r="D139" s="12" t="s">
        <v>19</v>
      </c>
      <c r="E139" s="12" t="s">
        <v>18</v>
      </c>
      <c r="F139" s="12" t="s">
        <v>19</v>
      </c>
      <c r="H139" s="179"/>
      <c r="I139" s="179"/>
      <c r="K139" s="179"/>
      <c r="L139" s="12" t="s">
        <v>18</v>
      </c>
      <c r="M139" s="12" t="s">
        <v>19</v>
      </c>
      <c r="N139" s="12" t="s">
        <v>18</v>
      </c>
      <c r="O139" s="12" t="s">
        <v>19</v>
      </c>
      <c r="Q139" s="172"/>
      <c r="R139" s="72" t="s">
        <v>343</v>
      </c>
      <c r="S139" s="69">
        <f>IF('1_採択区分・推計パターン選択'!$D$4='（計算用1）'!$Q$131,'2_地域ゆかり'!H12,0)</f>
        <v>0</v>
      </c>
      <c r="X139" s="76" t="s">
        <v>342</v>
      </c>
      <c r="Y139" s="69">
        <f>IF(S136=0,0,S140+$S$139*S140/SUM($S$132,$S$134:$S$138,$S$140:$S$142))</f>
        <v>0</v>
      </c>
      <c r="Z139" t="s">
        <v>394</v>
      </c>
      <c r="AA139" t="s">
        <v>374</v>
      </c>
      <c r="AC139" s="76" t="s">
        <v>387</v>
      </c>
      <c r="AD139" s="75">
        <f t="shared" si="19"/>
        <v>0</v>
      </c>
    </row>
    <row r="140" spans="2:30" x14ac:dyDescent="0.2">
      <c r="B140" s="154"/>
      <c r="C140" s="56">
        <f>IF('1_採択区分・推計パターン選択'!$D$5="パターン③",IF('3_パターン③'!$E$5="","",VLOOKUP('3_パターン③'!$E$5,'（入込数）'!$B$6:$N$52,2,FALSE)),0)</f>
        <v>0</v>
      </c>
      <c r="D140" s="56">
        <f>IF('1_採択区分・推計パターン選択'!$D$5="パターン③",IF('3_パターン③'!$E$5="","",VLOOKUP('3_パターン③'!$E$5,'（入込数）'!$B$6:$N$52,3,FALSE)),0)</f>
        <v>0</v>
      </c>
      <c r="E140" s="56">
        <f>IF('1_採択区分・推計パターン選択'!$D$5="パターン③",IF('3_パターン③'!$E$5="","",VLOOKUP('3_パターン③'!$E$5,'（入込数）'!$B$6:$N$52,4,FALSE)),0)</f>
        <v>0</v>
      </c>
      <c r="F140" s="56">
        <f>IF('1_採択区分・推計パターン選択'!$D$5="パターン③",IF('3_パターン③'!$E$5="","",VLOOKUP('3_パターン③'!$E$5,'（入込数）'!$B$6:$N$52,5,FALSE)),0)</f>
        <v>0</v>
      </c>
      <c r="H140" s="17" t="s">
        <v>16</v>
      </c>
      <c r="I140" s="58">
        <f>IF('1_採択区分・推計パターン選択'!$D$5="パターン③",IF('3_パターン③'!$E$5="","",VLOOKUP('3_パターン③'!$E$5,'（消費内訳）'!$B$6:$R$53,3,FALSE)),0)</f>
        <v>0</v>
      </c>
      <c r="K140" s="17" t="s">
        <v>16</v>
      </c>
      <c r="L140" s="56" t="str">
        <f>IF('1_採択区分・推計パターン選択'!$D$5="パターン③",C$140*$I140/SUM($I$140:$I$146),"")</f>
        <v/>
      </c>
      <c r="M140" s="56" t="str">
        <f>IF('1_採択区分・推計パターン選択'!$D$5="パターン③",D$140*$I140/SUM($I$140:$I$146),"")</f>
        <v/>
      </c>
      <c r="N140" s="56" t="str">
        <f>IF('1_採択区分・推計パターン選択'!$D$5="パターン③",E$140*$I140/SUM($I$140:$I$146),"")</f>
        <v/>
      </c>
      <c r="O140" s="56" t="str">
        <f>IF('1_採択区分・推計パターン選択'!$D$5="パターン③",F$140*$I140/SUM($I$140:$I$146),"")</f>
        <v/>
      </c>
      <c r="Q140" s="172"/>
      <c r="R140" s="72" t="s">
        <v>342</v>
      </c>
      <c r="S140" s="69">
        <f>IF('1_採択区分・推計パターン選択'!$D$4='（計算用1）'!$Q$131,'2_地域ゆかり'!H13,0)</f>
        <v>0</v>
      </c>
      <c r="X140" s="76" t="s">
        <v>405</v>
      </c>
      <c r="Y140" s="69">
        <f>IF(S137=0,0,S141+$S$139*S141/SUM($S$132,$S$134:$S$138,$S$140:$S$142))</f>
        <v>0</v>
      </c>
      <c r="Z140" t="s">
        <v>394</v>
      </c>
      <c r="AA140" t="s">
        <v>445</v>
      </c>
      <c r="AC140" s="54" t="s">
        <v>386</v>
      </c>
      <c r="AD140" s="75">
        <f t="shared" si="19"/>
        <v>0</v>
      </c>
    </row>
    <row r="141" spans="2:30" x14ac:dyDescent="0.2">
      <c r="H141" s="17" t="s">
        <v>11</v>
      </c>
      <c r="I141" s="58">
        <f>IF('1_採択区分・推計パターン選択'!$D$5="パターン③",IF('3_パターン③'!$E$5="","",VLOOKUP('3_パターン③'!$E$5,'（消費内訳）'!$B$6:$R$53,4,FALSE)),0)</f>
        <v>0</v>
      </c>
      <c r="K141" s="17" t="s">
        <v>11</v>
      </c>
      <c r="L141" s="56" t="str">
        <f>IF('1_採択区分・推計パターン選択'!$D$5="パターン③",C$140*$I141/SUM($I$140:$I$146),"")</f>
        <v/>
      </c>
      <c r="M141" s="56" t="str">
        <f>IF('1_採択区分・推計パターン選択'!$D$5="パターン③",D$140*$I141/SUM($I$140:$I$146),"")</f>
        <v/>
      </c>
      <c r="N141" s="56" t="str">
        <f>IF('1_採択区分・推計パターン選択'!$D$5="パターン③",E$140*$I141/SUM($I$140:$I$146),"")</f>
        <v/>
      </c>
      <c r="O141" s="56" t="str">
        <f>IF('1_採択区分・推計パターン選択'!$D$5="パターン③",F$140*$I141/SUM($I$140:$I$146),"")</f>
        <v/>
      </c>
      <c r="Q141" s="172"/>
      <c r="R141" s="72" t="s">
        <v>345</v>
      </c>
      <c r="S141" s="69">
        <f>IF('1_採択区分・推計パターン選択'!$D$4='（計算用1）'!$Q$131,'2_地域ゆかり'!H14,0)</f>
        <v>0</v>
      </c>
      <c r="X141" s="76" t="s">
        <v>344</v>
      </c>
      <c r="Y141" s="69">
        <f>IF(S138=0,0,S142+$S$139*S142/SUM($S$132,$S$134:$S$138,$S$140:$S$142))</f>
        <v>0</v>
      </c>
      <c r="Z141" t="s">
        <v>394</v>
      </c>
      <c r="AA141" t="s">
        <v>445</v>
      </c>
    </row>
    <row r="142" spans="2:30" x14ac:dyDescent="0.2">
      <c r="H142" s="17" t="s">
        <v>12</v>
      </c>
      <c r="I142" s="58">
        <f>IF('1_採択区分・推計パターン選択'!$D$5="パターン③",IF('3_パターン③'!$E$5="","",VLOOKUP('3_パターン③'!$E$5,'（消費内訳）'!$B$6:$R$53,5,FALSE)),0)</f>
        <v>0</v>
      </c>
      <c r="K142" s="17" t="s">
        <v>12</v>
      </c>
      <c r="L142" s="56" t="str">
        <f>IF('1_採択区分・推計パターン選択'!$D$5="パターン③",C$140*$I142/SUM($I$140:$I$146),"")</f>
        <v/>
      </c>
      <c r="M142" s="56" t="str">
        <f>IF('1_採択区分・推計パターン選択'!$D$5="パターン③",D$140*$I142/SUM($I$140:$I$146),"")</f>
        <v/>
      </c>
      <c r="N142" s="56" t="str">
        <f>IF('1_採択区分・推計パターン選択'!$D$5="パターン③",E$140*$I142/SUM($I$140:$I$146),"")</f>
        <v/>
      </c>
      <c r="O142" s="56" t="str">
        <f>IF('1_採択区分・推計パターン選択'!$D$5="パターン③",F$140*$I142/SUM($I$140:$I$146),"")</f>
        <v/>
      </c>
      <c r="Q142" s="173"/>
      <c r="R142" s="72" t="s">
        <v>344</v>
      </c>
      <c r="S142" s="69">
        <f>IF('1_採択区分・推計パターン選択'!$D$4='（計算用1）'!$Q$131,'2_地域ゆかり'!H15,0)</f>
        <v>0</v>
      </c>
    </row>
    <row r="143" spans="2:30" x14ac:dyDescent="0.2">
      <c r="H143" s="17" t="s">
        <v>13</v>
      </c>
      <c r="I143" s="58">
        <f>IF('1_採択区分・推計パターン選択'!$D$5="パターン③",IF('3_パターン③'!$E$5="","",VLOOKUP('3_パターン③'!$E$5,'（消費内訳）'!$B$6:$R$53,6,FALSE)),0)</f>
        <v>0</v>
      </c>
      <c r="K143" s="17" t="s">
        <v>13</v>
      </c>
      <c r="L143" s="56" t="str">
        <f>IF('1_採択区分・推計パターン選択'!$D$5="パターン③",C$140*$I143/SUM($I$140:$I$146),"")</f>
        <v/>
      </c>
      <c r="M143" s="56" t="str">
        <f>IF('1_採択区分・推計パターン選択'!$D$5="パターン③",D$140*$I143/SUM($I$140:$I$146),"")</f>
        <v/>
      </c>
      <c r="N143" s="56" t="str">
        <f>IF('1_採択区分・推計パターン選択'!$D$5="パターン③",E$140*$I143/SUM($I$140:$I$146),"")</f>
        <v/>
      </c>
      <c r="O143" s="56" t="str">
        <f>IF('1_採択区分・推計パターン選択'!$D$5="パターン③",F$140*$I143/SUM($I$140:$I$146),"")</f>
        <v/>
      </c>
    </row>
    <row r="144" spans="2:30" x14ac:dyDescent="0.2">
      <c r="H144" s="17" t="s">
        <v>17</v>
      </c>
      <c r="I144" s="58">
        <f>IF('1_採択区分・推計パターン選択'!$D$5="パターン③",IF('3_パターン③'!$E$5="","",VLOOKUP('3_パターン③'!$E$5,'（消費内訳）'!$B$6:$R$53,7,FALSE)),0)</f>
        <v>0</v>
      </c>
      <c r="K144" s="17" t="s">
        <v>17</v>
      </c>
      <c r="L144" s="56" t="str">
        <f>IF('1_採択区分・推計パターン選択'!$D$5="パターン③",C$140*$I144/SUM($I$140:$I$146),"")</f>
        <v/>
      </c>
      <c r="M144" s="56" t="str">
        <f>IF('1_採択区分・推計パターン選択'!$D$5="パターン③",D$140*$I144/SUM($I$140:$I$146),"")</f>
        <v/>
      </c>
      <c r="N144" s="56" t="str">
        <f>IF('1_採択区分・推計パターン選択'!$D$5="パターン③",E$140*$I144/SUM($I$140:$I$146),"")</f>
        <v/>
      </c>
      <c r="O144" s="56" t="str">
        <f>IF('1_採択区分・推計パターン選択'!$D$5="パターン③",F$140*$I144/SUM($I$140:$I$146),"")</f>
        <v/>
      </c>
      <c r="Q144" s="70" t="s">
        <v>400</v>
      </c>
    </row>
    <row r="145" spans="2:18" x14ac:dyDescent="0.2">
      <c r="H145" s="17" t="s">
        <v>14</v>
      </c>
      <c r="I145" s="58">
        <f>IF('1_採択区分・推計パターン選択'!$D$5="パターン③",IF('3_パターン③'!$E$5="","",VLOOKUP('3_パターン③'!$E$5,'（消費内訳）'!$B$6:$R$53,8,FALSE)),0)</f>
        <v>0</v>
      </c>
      <c r="K145" s="17" t="s">
        <v>14</v>
      </c>
      <c r="L145" s="56" t="str">
        <f>IF('1_採択区分・推計パターン選択'!$D$5="パターン③",C$140*$I145/SUM($I$140:$I$146),"")</f>
        <v/>
      </c>
      <c r="M145" s="56" t="str">
        <f>IF('1_採択区分・推計パターン選択'!$D$5="パターン③",D$140*$I145/SUM($I$140:$I$146),"")</f>
        <v/>
      </c>
      <c r="N145" s="56" t="str">
        <f>IF('1_採択区分・推計パターン選択'!$D$5="パターン③",E$140*$I145/SUM($I$140:$I$146),"")</f>
        <v/>
      </c>
      <c r="O145" s="56" t="str">
        <f>IF('1_採択区分・推計パターン選択'!$D$5="パターン③",F$140*$I145/SUM($I$140:$I$146),"")</f>
        <v/>
      </c>
      <c r="Q145" s="76" t="s">
        <v>377</v>
      </c>
      <c r="R145" s="78">
        <f>AD3+AD30+AD61+AD97+AD132</f>
        <v>0</v>
      </c>
    </row>
    <row r="146" spans="2:18" x14ac:dyDescent="0.2">
      <c r="H146" s="17" t="s">
        <v>15</v>
      </c>
      <c r="I146" s="58">
        <f>IF('1_採択区分・推計パターン選択'!$D$5="パターン③",IF('3_パターン③'!$E$5="","",VLOOKUP('3_パターン③'!$E$5,'（消費内訳）'!$B$6:$R$53,9,FALSE)),0)</f>
        <v>0</v>
      </c>
      <c r="K146" s="17" t="s">
        <v>15</v>
      </c>
      <c r="L146" s="56" t="str">
        <f>IF('1_採択区分・推計パターン選択'!$D$5="パターン③",C$140*$I146/SUM($I$140:$I$146),"")</f>
        <v/>
      </c>
      <c r="M146" s="56" t="str">
        <f>IF('1_採択区分・推計パターン選択'!$D$5="パターン③",D$140*$I146/SUM($I$140:$I$146),"")</f>
        <v/>
      </c>
      <c r="N146" s="56" t="str">
        <f>IF('1_採択区分・推計パターン選択'!$D$5="パターン③",E$140*$I146/SUM($I$140:$I$146),"")</f>
        <v/>
      </c>
      <c r="O146" s="56" t="str">
        <f>IF('1_採択区分・推計パターン選択'!$D$5="パターン③",F$140*$I146/SUM($I$140:$I$146),"")</f>
        <v/>
      </c>
      <c r="Q146" s="76" t="s">
        <v>382</v>
      </c>
      <c r="R146" s="78">
        <f t="shared" ref="R146:R153" si="20">AD4+AD31+AD62+AD98+AD133</f>
        <v>0</v>
      </c>
    </row>
    <row r="147" spans="2:18" x14ac:dyDescent="0.2">
      <c r="Q147" s="76" t="s">
        <v>373</v>
      </c>
      <c r="R147" s="78">
        <f t="shared" si="20"/>
        <v>0</v>
      </c>
    </row>
    <row r="148" spans="2:18" x14ac:dyDescent="0.2">
      <c r="B148" s="179" t="s">
        <v>3</v>
      </c>
      <c r="C148" s="23" t="s">
        <v>18</v>
      </c>
      <c r="D148" s="23" t="s">
        <v>19</v>
      </c>
      <c r="F148" s="180" t="s">
        <v>3</v>
      </c>
      <c r="G148" s="181"/>
      <c r="I148" s="12" t="s">
        <v>151</v>
      </c>
      <c r="J148" s="23" t="s">
        <v>18</v>
      </c>
      <c r="K148" s="23" t="s">
        <v>19</v>
      </c>
      <c r="Q148" s="76" t="s">
        <v>379</v>
      </c>
      <c r="R148" s="78">
        <f t="shared" si="20"/>
        <v>0</v>
      </c>
    </row>
    <row r="149" spans="2:18" x14ac:dyDescent="0.2">
      <c r="B149" s="179"/>
      <c r="C149" s="55">
        <f>IF('1_採択区分・推計パターン選択'!$D$5="パターン③",IF('3_パターン③'!$E$5="","",VLOOKUP('3_パターン③'!$E$5,'（入込数）'!$B$6:$N$52,12,FALSE)),0)</f>
        <v>0</v>
      </c>
      <c r="D149" s="55">
        <f>IF('1_採択区分・推計パターン選択'!$D$5="パターン③",IF('3_パターン③'!$E$5="","",VLOOKUP('3_パターン③'!$E$5,'（入込数）'!$B$6:$N$52,13,FALSE)),0)</f>
        <v>0</v>
      </c>
      <c r="F149" s="17" t="s">
        <v>16</v>
      </c>
      <c r="G149" s="58">
        <f>IF('1_採択区分・推計パターン選択'!$D$5="パターン③",IF('3_パターン③'!$E$5="","",VLOOKUP('3_パターン③'!$E$5,'（消費内訳）'!$B$6:$R$53,11,FALSE)),0)</f>
        <v>0</v>
      </c>
      <c r="I149" s="17" t="s">
        <v>16</v>
      </c>
      <c r="J149" s="56" t="str">
        <f>IF('1_採択区分・推計パターン選択'!$D$5="パターン③",C$149*$G149/SUM($G$149:$G$155),"")</f>
        <v/>
      </c>
      <c r="K149" s="56" t="str">
        <f>IF('1_採択区分・推計パターン選択'!$D$5="パターン③",D$149*$G149/SUM($G$149:$G$155),"")</f>
        <v/>
      </c>
      <c r="Q149" s="76" t="s">
        <v>445</v>
      </c>
      <c r="R149" s="78">
        <f t="shared" si="20"/>
        <v>0</v>
      </c>
    </row>
    <row r="150" spans="2:18" x14ac:dyDescent="0.2">
      <c r="F150" s="17" t="s">
        <v>11</v>
      </c>
      <c r="G150" s="58">
        <f>IF('1_採択区分・推計パターン選択'!$D$5="パターン③",IF('3_パターン③'!$E$5="","",VLOOKUP('3_パターン③'!$E$5,'（消費内訳）'!$B$6:$R$53,12,FALSE)),0)</f>
        <v>0</v>
      </c>
      <c r="I150" s="17" t="s">
        <v>11</v>
      </c>
      <c r="J150" s="56" t="str">
        <f>IF('1_採択区分・推計パターン選択'!$D$5="パターン③",C$149*$G150/SUM($G$149:$G$155),"")</f>
        <v/>
      </c>
      <c r="K150" s="56" t="str">
        <f>IF('1_採択区分・推計パターン選択'!$D$5="パターン③",D$149*$G150/SUM($G$149:$G$155),"")</f>
        <v/>
      </c>
      <c r="Q150" s="76" t="s">
        <v>375</v>
      </c>
      <c r="R150" s="78">
        <f>AD8+AD35+AD66+AD102+AD137</f>
        <v>0</v>
      </c>
    </row>
    <row r="151" spans="2:18" x14ac:dyDescent="0.2">
      <c r="F151" s="17" t="s">
        <v>12</v>
      </c>
      <c r="G151" s="58">
        <f>IF('1_採択区分・推計パターン選択'!$D$5="パターン③",IF('3_パターン③'!$E$5="","",VLOOKUP('3_パターン③'!$E$5,'（消費内訳）'!$B$6:$R$53,13,FALSE)),0)</f>
        <v>0</v>
      </c>
      <c r="I151" s="17" t="s">
        <v>12</v>
      </c>
      <c r="J151" s="56" t="str">
        <f>IF('1_採択区分・推計パターン選択'!$D$5="パターン③",C$149*$G151/SUM($G$149:$G$155),"")</f>
        <v/>
      </c>
      <c r="K151" s="56" t="str">
        <f>IF('1_採択区分・推計パターン選択'!$D$5="パターン③",D$149*$G151/SUM($G$149:$G$155),"")</f>
        <v/>
      </c>
      <c r="Q151" s="76" t="s">
        <v>380</v>
      </c>
      <c r="R151" s="78">
        <f t="shared" si="20"/>
        <v>0</v>
      </c>
    </row>
    <row r="152" spans="2:18" x14ac:dyDescent="0.2">
      <c r="F152" s="17" t="s">
        <v>13</v>
      </c>
      <c r="G152" s="58">
        <f>IF('1_採択区分・推計パターン選択'!$D$5="パターン③",IF('3_パターン③'!$E$5="","",VLOOKUP('3_パターン③'!$E$5,'（消費内訳）'!$B$6:$R$53,14,FALSE)),0)</f>
        <v>0</v>
      </c>
      <c r="I152" s="17" t="s">
        <v>13</v>
      </c>
      <c r="J152" s="56" t="str">
        <f>IF('1_採択区分・推計パターン選択'!$D$5="パターン③",C$149*$G152/SUM($G$149:$G$155),"")</f>
        <v/>
      </c>
      <c r="K152" s="56" t="str">
        <f>IF('1_採択区分・推計パターン選択'!$D$5="パターン③",D$149*$G152/SUM($G$149:$G$155),"")</f>
        <v/>
      </c>
      <c r="Q152" s="76" t="s">
        <v>387</v>
      </c>
      <c r="R152" s="78">
        <f t="shared" si="20"/>
        <v>0</v>
      </c>
    </row>
    <row r="153" spans="2:18" x14ac:dyDescent="0.2">
      <c r="F153" s="17" t="s">
        <v>17</v>
      </c>
      <c r="G153" s="58">
        <f>IF('1_採択区分・推計パターン選択'!$D$5="パターン③",IF('3_パターン③'!$E$5="","",VLOOKUP('3_パターン③'!$E$5,'（消費内訳）'!$B$6:$R$53,15,FALSE)),0)</f>
        <v>0</v>
      </c>
      <c r="I153" s="17" t="s">
        <v>17</v>
      </c>
      <c r="J153" s="56" t="str">
        <f>IF('1_採択区分・推計パターン選択'!$D$5="パターン③",C$149*$G153/SUM($G$149:$G$155),"")</f>
        <v/>
      </c>
      <c r="K153" s="56" t="str">
        <f>IF('1_採択区分・推計パターン選択'!$D$5="パターン③",D$149*$G153/SUM($G$149:$G$155),"")</f>
        <v/>
      </c>
      <c r="Q153" s="54" t="s">
        <v>386</v>
      </c>
      <c r="R153" s="78">
        <f t="shared" si="20"/>
        <v>0</v>
      </c>
    </row>
    <row r="154" spans="2:18" x14ac:dyDescent="0.2">
      <c r="F154" s="17" t="s">
        <v>14</v>
      </c>
      <c r="G154" s="58">
        <f>IF('1_採択区分・推計パターン選択'!$D$5="パターン③",IF('3_パターン③'!$E$5="","",VLOOKUP('3_パターン③'!$E$5,'（消費内訳）'!$B$6:$R$53,16,FALSE)),0)</f>
        <v>0</v>
      </c>
      <c r="I154" s="17" t="s">
        <v>14</v>
      </c>
      <c r="J154" s="56" t="str">
        <f>IF('1_採択区分・推計パターン選択'!$D$5="パターン③",C$149*$G154/SUM($G$149:$G$155),"")</f>
        <v/>
      </c>
      <c r="K154" s="56" t="str">
        <f>IF('1_採択区分・推計パターン選択'!$D$5="パターン③",D$149*$G154/SUM($G$149:$G$155),"")</f>
        <v/>
      </c>
    </row>
    <row r="155" spans="2:18" x14ac:dyDescent="0.2">
      <c r="F155" s="17" t="s">
        <v>15</v>
      </c>
      <c r="G155" s="58">
        <f>IF('1_採択区分・推計パターン選択'!$D$5="パターン③",IF('3_パターン③'!$E$5="","",VLOOKUP('3_パターン③'!$E$5,'（消費内訳）'!$B$6:$R$53,17,FALSE)),0)</f>
        <v>0</v>
      </c>
      <c r="I155" s="17" t="s">
        <v>15</v>
      </c>
      <c r="J155" s="56" t="str">
        <f>IF('1_採択区分・推計パターン選択'!$D$5="パターン③",C$149*$G155/SUM($G$149:$G$155),"")</f>
        <v/>
      </c>
      <c r="K155" s="56" t="str">
        <f>IF('1_採択区分・推計パターン選択'!$D$5="パターン③",D$149*$G155/SUM($G$149:$G$155),"")</f>
        <v/>
      </c>
    </row>
    <row r="157" spans="2:18" x14ac:dyDescent="0.2">
      <c r="B157" s="2" t="s">
        <v>156</v>
      </c>
    </row>
    <row r="158" spans="2:18" x14ac:dyDescent="0.2">
      <c r="B158" s="155" t="s">
        <v>2</v>
      </c>
      <c r="C158" s="155" t="s">
        <v>0</v>
      </c>
      <c r="D158" s="155"/>
      <c r="E158" s="155" t="s">
        <v>1</v>
      </c>
      <c r="F158" s="155"/>
      <c r="G158" s="182" t="s">
        <v>157</v>
      </c>
    </row>
    <row r="159" spans="2:18" x14ac:dyDescent="0.2">
      <c r="B159" s="155"/>
      <c r="C159" s="12" t="s">
        <v>18</v>
      </c>
      <c r="D159" s="12" t="s">
        <v>19</v>
      </c>
      <c r="E159" s="12" t="s">
        <v>18</v>
      </c>
      <c r="F159" s="12" t="s">
        <v>19</v>
      </c>
      <c r="G159" s="182"/>
    </row>
    <row r="160" spans="2:18" x14ac:dyDescent="0.2">
      <c r="B160" s="17" t="s">
        <v>16</v>
      </c>
      <c r="C160" s="56">
        <f>IF('1_採択区分・推計パターン選択'!$D$5="パターン③",C$135*L140,0)</f>
        <v>0</v>
      </c>
      <c r="D160" s="56">
        <f>IF('1_採択区分・推計パターン選択'!$D$5="パターン③",D$135*M140,0)</f>
        <v>0</v>
      </c>
      <c r="E160" s="56">
        <f>IF('1_採択区分・推計パターン選択'!$D$5="パターン③",E$135*N140,0)</f>
        <v>0</v>
      </c>
      <c r="F160" s="56">
        <f>IF('1_採択区分・推計パターン選択'!$D$5="パターン③",F$135*O140,0)</f>
        <v>0</v>
      </c>
      <c r="G160" s="59">
        <f>SUM(C160:F160)</f>
        <v>0</v>
      </c>
    </row>
    <row r="161" spans="2:7" x14ac:dyDescent="0.2">
      <c r="B161" s="17" t="s">
        <v>11</v>
      </c>
      <c r="C161" s="56">
        <f>IF('1_採択区分・推計パターン選択'!$D$5="パターン③",C$135*L141,0)</f>
        <v>0</v>
      </c>
      <c r="D161" s="56">
        <f>IF('1_採択区分・推計パターン選択'!$D$5="パターン③",D$135*M141,0)</f>
        <v>0</v>
      </c>
      <c r="E161" s="56">
        <f>IF('1_採択区分・推計パターン選択'!$D$5="パターン③",E$135*N141,0)</f>
        <v>0</v>
      </c>
      <c r="F161" s="56">
        <f>IF('1_採択区分・推計パターン選択'!$D$5="パターン③",F$135*O141,0)</f>
        <v>0</v>
      </c>
      <c r="G161" s="59">
        <f>SUM(C161:F161)</f>
        <v>0</v>
      </c>
    </row>
    <row r="162" spans="2:7" x14ac:dyDescent="0.2">
      <c r="B162" s="17" t="s">
        <v>12</v>
      </c>
      <c r="C162" s="56">
        <f>IF('1_採択区分・推計パターン選択'!$D$5="パターン③",C$135*L142,0)</f>
        <v>0</v>
      </c>
      <c r="D162" s="56">
        <f>IF('1_採択区分・推計パターン選択'!$D$5="パターン③",D$135*M142,0)</f>
        <v>0</v>
      </c>
      <c r="E162" s="56">
        <f>IF('1_採択区分・推計パターン選択'!$D$5="パターン③",E$135*N142,0)</f>
        <v>0</v>
      </c>
      <c r="F162" s="56">
        <f>IF('1_採択区分・推計パターン選択'!$D$5="パターン③",F$135*O142,0)</f>
        <v>0</v>
      </c>
      <c r="G162" s="59">
        <f>SUM(C162:F162)</f>
        <v>0</v>
      </c>
    </row>
    <row r="163" spans="2:7" x14ac:dyDescent="0.2">
      <c r="B163" s="17" t="s">
        <v>13</v>
      </c>
      <c r="C163" s="56">
        <f>IF('1_採択区分・推計パターン選択'!$D$5="パターン③",C$135*L143,0)</f>
        <v>0</v>
      </c>
      <c r="D163" s="56">
        <f>IF('1_採択区分・推計パターン選択'!$D$5="パターン③",D$135*M143,0)</f>
        <v>0</v>
      </c>
      <c r="E163" s="56">
        <f>IF('1_採択区分・推計パターン選択'!$D$5="パターン③",E$135*N143,0)</f>
        <v>0</v>
      </c>
      <c r="F163" s="56">
        <f>IF('1_採択区分・推計パターン選択'!$D$5="パターン③",F$135*O143,0)</f>
        <v>0</v>
      </c>
      <c r="G163" s="59">
        <f t="shared" ref="G163:G166" si="21">SUM(C163:F163)</f>
        <v>0</v>
      </c>
    </row>
    <row r="164" spans="2:7" x14ac:dyDescent="0.2">
      <c r="B164" s="17" t="s">
        <v>17</v>
      </c>
      <c r="C164" s="56">
        <f>IF('1_採択区分・推計パターン選択'!$D$5="パターン③",C$135*L144,0)</f>
        <v>0</v>
      </c>
      <c r="D164" s="56">
        <f>IF('1_採択区分・推計パターン選択'!$D$5="パターン③",D$135*M144,0)</f>
        <v>0</v>
      </c>
      <c r="E164" s="56">
        <f>IF('1_採択区分・推計パターン選択'!$D$5="パターン③",E$135*N144,0)</f>
        <v>0</v>
      </c>
      <c r="F164" s="56">
        <f>IF('1_採択区分・推計パターン選択'!$D$5="パターン③",F$135*O144,0)</f>
        <v>0</v>
      </c>
      <c r="G164" s="59">
        <f t="shared" si="21"/>
        <v>0</v>
      </c>
    </row>
    <row r="165" spans="2:7" x14ac:dyDescent="0.2">
      <c r="B165" s="17" t="s">
        <v>14</v>
      </c>
      <c r="C165" s="56">
        <f>IF('1_採択区分・推計パターン選択'!$D$5="パターン③",C$135*L145,0)</f>
        <v>0</v>
      </c>
      <c r="D165" s="56">
        <f>IF('1_採択区分・推計パターン選択'!$D$5="パターン③",D$135*M145,0)</f>
        <v>0</v>
      </c>
      <c r="E165" s="56">
        <f>IF('1_採択区分・推計パターン選択'!$D$5="パターン③",E$135*N145,0)</f>
        <v>0</v>
      </c>
      <c r="F165" s="56">
        <f>IF('1_採択区分・推計パターン選択'!$D$5="パターン③",F$135*O145,0)</f>
        <v>0</v>
      </c>
      <c r="G165" s="59">
        <f t="shared" si="21"/>
        <v>0</v>
      </c>
    </row>
    <row r="166" spans="2:7" x14ac:dyDescent="0.2">
      <c r="B166" s="17" t="s">
        <v>15</v>
      </c>
      <c r="C166" s="56">
        <f>IF('1_採択区分・推計パターン選択'!$D$5="パターン③",C$135*L146,0)</f>
        <v>0</v>
      </c>
      <c r="D166" s="56">
        <f>IF('1_採択区分・推計パターン選択'!$D$5="パターン③",D$135*M146,0)</f>
        <v>0</v>
      </c>
      <c r="E166" s="56">
        <f>IF('1_採択区分・推計パターン選択'!$D$5="パターン③",E$135*N146,0)</f>
        <v>0</v>
      </c>
      <c r="F166" s="56">
        <f>IF('1_採択区分・推計パターン選択'!$D$5="パターン③",F$135*O146,0)</f>
        <v>0</v>
      </c>
      <c r="G166" s="59">
        <f t="shared" si="21"/>
        <v>0</v>
      </c>
    </row>
    <row r="168" spans="2:7" x14ac:dyDescent="0.2">
      <c r="B168" s="12" t="s">
        <v>151</v>
      </c>
      <c r="C168" s="23" t="s">
        <v>18</v>
      </c>
      <c r="D168" s="23" t="s">
        <v>19</v>
      </c>
      <c r="E168" s="60" t="s">
        <v>157</v>
      </c>
    </row>
    <row r="169" spans="2:7" x14ac:dyDescent="0.2">
      <c r="B169" s="17" t="s">
        <v>16</v>
      </c>
      <c r="C169" s="56" t="str">
        <f>IF('1_採択区分・推計パターン選択'!$D$5="パターン③",G$135*J149,"")</f>
        <v/>
      </c>
      <c r="D169" s="56" t="str">
        <f>IF('1_採択区分・推計パターン選択'!$D$5="パターン③",H$135*K149,"")</f>
        <v/>
      </c>
      <c r="E169" s="59">
        <f>SUM(C169:D169)</f>
        <v>0</v>
      </c>
    </row>
    <row r="170" spans="2:7" x14ac:dyDescent="0.2">
      <c r="B170" s="17" t="s">
        <v>11</v>
      </c>
      <c r="C170" s="56" t="str">
        <f>IF('1_採択区分・推計パターン選択'!$D$5="パターン③",G$135*J150,"")</f>
        <v/>
      </c>
      <c r="D170" s="56" t="str">
        <f>IF('1_採択区分・推計パターン選択'!$D$5="パターン③",H$135*K150,"")</f>
        <v/>
      </c>
      <c r="E170" s="59">
        <f t="shared" ref="E170:E175" si="22">SUM(C170:D170)</f>
        <v>0</v>
      </c>
    </row>
    <row r="171" spans="2:7" x14ac:dyDescent="0.2">
      <c r="B171" s="17" t="s">
        <v>12</v>
      </c>
      <c r="C171" s="56" t="str">
        <f>IF('1_採択区分・推計パターン選択'!$D$5="パターン③",G$135*J151,"")</f>
        <v/>
      </c>
      <c r="D171" s="56" t="str">
        <f>IF('1_採択区分・推計パターン選択'!$D$5="パターン③",H$135*K151,"")</f>
        <v/>
      </c>
      <c r="E171" s="59">
        <f t="shared" si="22"/>
        <v>0</v>
      </c>
    </row>
    <row r="172" spans="2:7" x14ac:dyDescent="0.2">
      <c r="B172" s="17" t="s">
        <v>13</v>
      </c>
      <c r="C172" s="56" t="str">
        <f>IF('1_採択区分・推計パターン選択'!$D$5="パターン③",G$135*J152,"")</f>
        <v/>
      </c>
      <c r="D172" s="56" t="str">
        <f>IF('1_採択区分・推計パターン選択'!$D$5="パターン③",H$135*K152,"")</f>
        <v/>
      </c>
      <c r="E172" s="59">
        <f t="shared" si="22"/>
        <v>0</v>
      </c>
    </row>
    <row r="173" spans="2:7" x14ac:dyDescent="0.2">
      <c r="B173" s="17" t="s">
        <v>17</v>
      </c>
      <c r="C173" s="56" t="str">
        <f>IF('1_採択区分・推計パターン選択'!$D$5="パターン③",G$135*J153,"")</f>
        <v/>
      </c>
      <c r="D173" s="56" t="str">
        <f>IF('1_採択区分・推計パターン選択'!$D$5="パターン③",H$135*K153,"")</f>
        <v/>
      </c>
      <c r="E173" s="59">
        <f t="shared" si="22"/>
        <v>0</v>
      </c>
    </row>
    <row r="174" spans="2:7" x14ac:dyDescent="0.2">
      <c r="B174" s="17" t="s">
        <v>14</v>
      </c>
      <c r="C174" s="56" t="str">
        <f>IF('1_採択区分・推計パターン選択'!$D$5="パターン③",G$135*J154,"")</f>
        <v/>
      </c>
      <c r="D174" s="56" t="str">
        <f>IF('1_採択区分・推計パターン選択'!$D$5="パターン③",H$135*K154,"")</f>
        <v/>
      </c>
      <c r="E174" s="59">
        <f t="shared" si="22"/>
        <v>0</v>
      </c>
    </row>
    <row r="175" spans="2:7" x14ac:dyDescent="0.2">
      <c r="B175" s="17" t="s">
        <v>15</v>
      </c>
      <c r="C175" s="56" t="str">
        <f>IF('1_採択区分・推計パターン選択'!$D$5="パターン③",G$135*J155,"")</f>
        <v/>
      </c>
      <c r="D175" s="56" t="str">
        <f>IF('1_採択区分・推計パターン選択'!$D$5="パターン③",H$135*K155,"")</f>
        <v/>
      </c>
      <c r="E175" s="59">
        <f t="shared" si="22"/>
        <v>0</v>
      </c>
    </row>
    <row r="177" spans="2:14" x14ac:dyDescent="0.2">
      <c r="B177" s="60"/>
      <c r="C177" s="61" t="s">
        <v>158</v>
      </c>
    </row>
    <row r="178" spans="2:14" x14ac:dyDescent="0.2">
      <c r="B178" s="17" t="s">
        <v>16</v>
      </c>
      <c r="C178" s="59">
        <f t="shared" ref="C178:C184" si="23">G160+E169</f>
        <v>0</v>
      </c>
    </row>
    <row r="179" spans="2:14" x14ac:dyDescent="0.2">
      <c r="B179" s="17" t="s">
        <v>11</v>
      </c>
      <c r="C179" s="59">
        <f t="shared" si="23"/>
        <v>0</v>
      </c>
    </row>
    <row r="180" spans="2:14" x14ac:dyDescent="0.2">
      <c r="B180" s="17" t="s">
        <v>12</v>
      </c>
      <c r="C180" s="59">
        <f t="shared" si="23"/>
        <v>0</v>
      </c>
    </row>
    <row r="181" spans="2:14" x14ac:dyDescent="0.2">
      <c r="B181" s="17" t="s">
        <v>13</v>
      </c>
      <c r="C181" s="59">
        <f t="shared" si="23"/>
        <v>0</v>
      </c>
    </row>
    <row r="182" spans="2:14" x14ac:dyDescent="0.2">
      <c r="B182" s="17" t="s">
        <v>17</v>
      </c>
      <c r="C182" s="59">
        <f t="shared" si="23"/>
        <v>0</v>
      </c>
    </row>
    <row r="183" spans="2:14" x14ac:dyDescent="0.2">
      <c r="B183" s="17" t="s">
        <v>14</v>
      </c>
      <c r="C183" s="59">
        <f t="shared" si="23"/>
        <v>0</v>
      </c>
    </row>
    <row r="184" spans="2:14" x14ac:dyDescent="0.2">
      <c r="B184" s="17" t="s">
        <v>15</v>
      </c>
      <c r="C184" s="59">
        <f t="shared" si="23"/>
        <v>0</v>
      </c>
    </row>
    <row r="186" spans="2:14" x14ac:dyDescent="0.2">
      <c r="B186" s="1" t="s">
        <v>159</v>
      </c>
    </row>
    <row r="187" spans="2:14" x14ac:dyDescent="0.2">
      <c r="G187" t="s">
        <v>487</v>
      </c>
    </row>
    <row r="188" spans="2:14" x14ac:dyDescent="0.2">
      <c r="B188" s="54" t="s">
        <v>2</v>
      </c>
      <c r="C188" s="59">
        <f>SUM(B7:E7,B68:E68,B128)</f>
        <v>0</v>
      </c>
      <c r="E188" s="12" t="s">
        <v>16</v>
      </c>
      <c r="F188" s="59">
        <f t="shared" ref="F188:F194" si="24">C55+C117+C178</f>
        <v>0</v>
      </c>
      <c r="G188" t="s">
        <v>486</v>
      </c>
      <c r="H188" s="12" t="s">
        <v>11</v>
      </c>
      <c r="I188" s="59" t="e">
        <f>F189+$F$188*F189/SUM($F$189:$F$194)</f>
        <v>#DIV/0!</v>
      </c>
      <c r="J188" t="s">
        <v>394</v>
      </c>
      <c r="K188" t="s">
        <v>386</v>
      </c>
      <c r="L188" t="s">
        <v>486</v>
      </c>
      <c r="M188" s="76" t="s">
        <v>377</v>
      </c>
      <c r="N188" s="75" t="e">
        <f>SUMIF($K$188:$K$193,M188,$I$188:$I$193)</f>
        <v>#DIV/0!</v>
      </c>
    </row>
    <row r="189" spans="2:14" x14ac:dyDescent="0.2">
      <c r="B189" s="54" t="s">
        <v>3</v>
      </c>
      <c r="C189" s="59">
        <f>SUM(F7,F68,C128)</f>
        <v>0</v>
      </c>
      <c r="E189" s="12" t="s">
        <v>11</v>
      </c>
      <c r="F189" s="59">
        <f t="shared" si="24"/>
        <v>0</v>
      </c>
      <c r="H189" s="12" t="s">
        <v>12</v>
      </c>
      <c r="I189" s="59" t="e">
        <f t="shared" ref="I189:I193" si="25">F190+$F$188*F190/SUM($F$189:$F$194)</f>
        <v>#DIV/0!</v>
      </c>
      <c r="J189" t="s">
        <v>394</v>
      </c>
      <c r="K189" t="s">
        <v>386</v>
      </c>
      <c r="M189" s="76" t="s">
        <v>382</v>
      </c>
      <c r="N189" s="75">
        <f t="shared" ref="N189:N196" si="26">SUMIF($K$188:$K$193,M189,$I$188:$I$193)</f>
        <v>0</v>
      </c>
    </row>
    <row r="190" spans="2:14" x14ac:dyDescent="0.2">
      <c r="E190" s="12" t="s">
        <v>12</v>
      </c>
      <c r="F190" s="59">
        <f t="shared" si="24"/>
        <v>0</v>
      </c>
      <c r="H190" s="12" t="s">
        <v>13</v>
      </c>
      <c r="I190" s="59" t="e">
        <f t="shared" si="25"/>
        <v>#DIV/0!</v>
      </c>
      <c r="J190" t="s">
        <v>394</v>
      </c>
      <c r="K190" t="s">
        <v>384</v>
      </c>
      <c r="M190" s="76" t="s">
        <v>373</v>
      </c>
      <c r="N190" s="75">
        <f t="shared" si="26"/>
        <v>0</v>
      </c>
    </row>
    <row r="191" spans="2:14" x14ac:dyDescent="0.2">
      <c r="E191" s="12" t="s">
        <v>13</v>
      </c>
      <c r="F191" s="59">
        <f t="shared" si="24"/>
        <v>0</v>
      </c>
      <c r="H191" s="12" t="s">
        <v>17</v>
      </c>
      <c r="I191" s="59" t="e">
        <f t="shared" si="25"/>
        <v>#DIV/0!</v>
      </c>
      <c r="J191" t="s">
        <v>394</v>
      </c>
      <c r="K191" t="s">
        <v>386</v>
      </c>
      <c r="M191" s="76" t="s">
        <v>379</v>
      </c>
      <c r="N191" s="75">
        <f t="shared" si="26"/>
        <v>0</v>
      </c>
    </row>
    <row r="192" spans="2:14" x14ac:dyDescent="0.2">
      <c r="E192" s="12" t="s">
        <v>17</v>
      </c>
      <c r="F192" s="59">
        <f t="shared" si="24"/>
        <v>0</v>
      </c>
      <c r="H192" s="12" t="s">
        <v>14</v>
      </c>
      <c r="I192" s="59" t="e">
        <f t="shared" si="25"/>
        <v>#DIV/0!</v>
      </c>
      <c r="J192" t="s">
        <v>394</v>
      </c>
      <c r="K192" t="s">
        <v>488</v>
      </c>
      <c r="M192" s="76" t="s">
        <v>445</v>
      </c>
      <c r="N192" s="75" t="e">
        <f t="shared" si="26"/>
        <v>#DIV/0!</v>
      </c>
    </row>
    <row r="193" spans="5:14" x14ac:dyDescent="0.2">
      <c r="E193" s="12" t="s">
        <v>14</v>
      </c>
      <c r="F193" s="59">
        <f t="shared" si="24"/>
        <v>0</v>
      </c>
      <c r="H193" s="12" t="s">
        <v>15</v>
      </c>
      <c r="I193" s="59" t="e">
        <f t="shared" si="25"/>
        <v>#DIV/0!</v>
      </c>
      <c r="J193" t="s">
        <v>394</v>
      </c>
      <c r="K193" t="s">
        <v>387</v>
      </c>
      <c r="M193" s="76" t="s">
        <v>375</v>
      </c>
      <c r="N193" s="75">
        <f t="shared" si="26"/>
        <v>0</v>
      </c>
    </row>
    <row r="194" spans="5:14" x14ac:dyDescent="0.2">
      <c r="E194" s="12" t="s">
        <v>15</v>
      </c>
      <c r="F194" s="59">
        <f t="shared" si="24"/>
        <v>0</v>
      </c>
      <c r="M194" s="76" t="s">
        <v>380</v>
      </c>
      <c r="N194" s="75">
        <f t="shared" si="26"/>
        <v>0</v>
      </c>
    </row>
    <row r="195" spans="5:14" x14ac:dyDescent="0.2">
      <c r="M195" s="76" t="s">
        <v>387</v>
      </c>
      <c r="N195" s="75" t="e">
        <f t="shared" si="26"/>
        <v>#DIV/0!</v>
      </c>
    </row>
    <row r="196" spans="5:14" x14ac:dyDescent="0.2">
      <c r="M196" s="54" t="s">
        <v>386</v>
      </c>
      <c r="N196" s="75" t="e">
        <f t="shared" si="26"/>
        <v>#DIV/0!</v>
      </c>
    </row>
  </sheetData>
  <mergeCells count="61">
    <mergeCell ref="B158:B159"/>
    <mergeCell ref="C158:D158"/>
    <mergeCell ref="E158:F158"/>
    <mergeCell ref="G158:G159"/>
    <mergeCell ref="K138:K139"/>
    <mergeCell ref="L138:M138"/>
    <mergeCell ref="N138:O138"/>
    <mergeCell ref="B148:B149"/>
    <mergeCell ref="F148:G148"/>
    <mergeCell ref="G130:H130"/>
    <mergeCell ref="G131:G132"/>
    <mergeCell ref="H131:H132"/>
    <mergeCell ref="B130:B132"/>
    <mergeCell ref="B138:B140"/>
    <mergeCell ref="C138:D138"/>
    <mergeCell ref="E138:F138"/>
    <mergeCell ref="H138:I139"/>
    <mergeCell ref="C130:F130"/>
    <mergeCell ref="C131:D131"/>
    <mergeCell ref="E131:F131"/>
    <mergeCell ref="N76:O76"/>
    <mergeCell ref="H76:I77"/>
    <mergeCell ref="K76:K77"/>
    <mergeCell ref="B76:B78"/>
    <mergeCell ref="B97:B98"/>
    <mergeCell ref="C97:D97"/>
    <mergeCell ref="E97:F97"/>
    <mergeCell ref="G97:G98"/>
    <mergeCell ref="B87:B88"/>
    <mergeCell ref="F87:G87"/>
    <mergeCell ref="L76:M76"/>
    <mergeCell ref="B25:B26"/>
    <mergeCell ref="C76:D76"/>
    <mergeCell ref="E76:F76"/>
    <mergeCell ref="B65:E65"/>
    <mergeCell ref="F65:F67"/>
    <mergeCell ref="B66:C66"/>
    <mergeCell ref="D66:E66"/>
    <mergeCell ref="F25:G25"/>
    <mergeCell ref="B35:B36"/>
    <mergeCell ref="C35:D35"/>
    <mergeCell ref="E35:F35"/>
    <mergeCell ref="G35:G36"/>
    <mergeCell ref="B4:E4"/>
    <mergeCell ref="B5:C5"/>
    <mergeCell ref="D5:E5"/>
    <mergeCell ref="F4:F6"/>
    <mergeCell ref="B15:B16"/>
    <mergeCell ref="C15:D15"/>
    <mergeCell ref="E15:F15"/>
    <mergeCell ref="Q3:Q14"/>
    <mergeCell ref="Q15:Q27"/>
    <mergeCell ref="Q30:Q38"/>
    <mergeCell ref="Q39:R39"/>
    <mergeCell ref="Q132:Q142"/>
    <mergeCell ref="Q40:Q49"/>
    <mergeCell ref="Q50:Q58"/>
    <mergeCell ref="Q61:Q77"/>
    <mergeCell ref="Q78:Q94"/>
    <mergeCell ref="Q97:Q112"/>
    <mergeCell ref="Q113:Q129"/>
  </mergeCells>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9F4D3-86CD-42EF-9668-6483BED23635}">
  <dimension ref="A3:AH53"/>
  <sheetViews>
    <sheetView showGridLines="0" zoomScale="75" zoomScaleNormal="75" workbookViewId="0"/>
  </sheetViews>
  <sheetFormatPr defaultColWidth="11" defaultRowHeight="12" x14ac:dyDescent="0.2"/>
  <cols>
    <col min="1" max="3" width="11" style="3"/>
    <col min="4" max="4" width="11" style="135"/>
    <col min="5" max="12" width="11" style="3"/>
    <col min="13" max="13" width="11" style="135"/>
    <col min="14" max="33" width="11" style="3"/>
    <col min="34" max="34" width="14.140625" style="3" bestFit="1" customWidth="1"/>
    <col min="35" max="16384" width="11" style="3"/>
  </cols>
  <sheetData>
    <row r="3" spans="2:31" ht="12.6" customHeight="1" x14ac:dyDescent="0.2">
      <c r="B3" s="183" t="s">
        <v>473</v>
      </c>
      <c r="C3" s="183"/>
      <c r="D3" s="107" t="s">
        <v>489</v>
      </c>
      <c r="E3" s="108"/>
      <c r="F3" s="109"/>
      <c r="G3" s="110" t="s">
        <v>490</v>
      </c>
      <c r="H3" s="110"/>
      <c r="I3" s="111" t="s">
        <v>493</v>
      </c>
      <c r="J3" s="110"/>
      <c r="K3" s="110"/>
      <c r="L3" s="109"/>
      <c r="M3" s="107" t="s">
        <v>484</v>
      </c>
      <c r="N3" s="108"/>
      <c r="O3" s="109"/>
      <c r="P3" s="186" t="s">
        <v>474</v>
      </c>
      <c r="Q3" s="113" t="s">
        <v>552</v>
      </c>
      <c r="R3" s="108"/>
      <c r="S3" s="109"/>
      <c r="T3" s="108" t="s">
        <v>553</v>
      </c>
      <c r="U3" s="108"/>
      <c r="V3" s="112"/>
      <c r="W3" s="113" t="s">
        <v>554</v>
      </c>
      <c r="X3" s="108"/>
      <c r="Y3" s="109"/>
      <c r="Z3" s="113" t="s">
        <v>475</v>
      </c>
      <c r="AA3" s="113" t="s">
        <v>555</v>
      </c>
      <c r="AB3" s="113" t="s">
        <v>556</v>
      </c>
      <c r="AC3" s="114" t="s">
        <v>557</v>
      </c>
      <c r="AD3" s="112" t="s">
        <v>558</v>
      </c>
      <c r="AE3" s="112" t="s">
        <v>559</v>
      </c>
    </row>
    <row r="4" spans="2:31" ht="12.6" customHeight="1" x14ac:dyDescent="0.2">
      <c r="B4" s="183"/>
      <c r="C4" s="165"/>
      <c r="D4" s="107" t="s">
        <v>476</v>
      </c>
      <c r="E4" s="114" t="s">
        <v>477</v>
      </c>
      <c r="F4" s="112" t="s">
        <v>98</v>
      </c>
      <c r="G4" s="113" t="s">
        <v>491</v>
      </c>
      <c r="H4" s="113" t="s">
        <v>492</v>
      </c>
      <c r="I4" s="115" t="s">
        <v>476</v>
      </c>
      <c r="J4" s="110"/>
      <c r="K4" s="111" t="s">
        <v>477</v>
      </c>
      <c r="L4" s="110"/>
      <c r="M4" s="107" t="s">
        <v>476</v>
      </c>
      <c r="N4" s="114" t="s">
        <v>477</v>
      </c>
      <c r="O4" s="112" t="s">
        <v>98</v>
      </c>
      <c r="P4" s="187"/>
      <c r="Q4" s="113" t="s">
        <v>476</v>
      </c>
      <c r="R4" s="114" t="s">
        <v>477</v>
      </c>
      <c r="S4" s="136" t="s">
        <v>98</v>
      </c>
      <c r="T4" s="113" t="s">
        <v>476</v>
      </c>
      <c r="U4" s="114" t="s">
        <v>477</v>
      </c>
      <c r="V4" s="108" t="s">
        <v>98</v>
      </c>
      <c r="W4" s="113" t="s">
        <v>476</v>
      </c>
      <c r="X4" s="114" t="s">
        <v>477</v>
      </c>
      <c r="Y4" s="112" t="s">
        <v>98</v>
      </c>
      <c r="Z4" s="122"/>
      <c r="AA4" s="122"/>
      <c r="AB4" s="122"/>
      <c r="AC4" s="117"/>
      <c r="AD4" s="137"/>
      <c r="AE4" s="137"/>
    </row>
    <row r="5" spans="2:31" ht="12.6" customHeight="1" x14ac:dyDescent="0.2">
      <c r="B5" s="184"/>
      <c r="C5" s="185"/>
      <c r="D5" s="120"/>
      <c r="E5" s="121"/>
      <c r="F5" s="119"/>
      <c r="G5" s="121"/>
      <c r="H5" s="121"/>
      <c r="I5" s="122" t="s">
        <v>491</v>
      </c>
      <c r="J5" s="122" t="s">
        <v>492</v>
      </c>
      <c r="K5" s="122" t="s">
        <v>491</v>
      </c>
      <c r="L5" s="122" t="s">
        <v>492</v>
      </c>
      <c r="M5" s="120"/>
      <c r="N5" s="121"/>
      <c r="O5" s="119"/>
      <c r="P5" s="188"/>
      <c r="Q5" s="116"/>
      <c r="R5" s="121"/>
      <c r="S5" s="118"/>
      <c r="T5" s="116"/>
      <c r="U5" s="121"/>
      <c r="V5" s="118"/>
      <c r="W5" s="116"/>
      <c r="X5" s="121"/>
      <c r="Y5" s="119"/>
      <c r="Z5" s="116"/>
      <c r="AA5" s="116"/>
      <c r="AB5" s="116"/>
      <c r="AC5" s="121"/>
      <c r="AD5" s="119"/>
      <c r="AE5" s="119"/>
    </row>
    <row r="6" spans="2:31" x14ac:dyDescent="0.2">
      <c r="B6" s="11" t="s">
        <v>406</v>
      </c>
      <c r="C6" s="11" t="s">
        <v>407</v>
      </c>
      <c r="D6" s="123">
        <f>SUMIF('（計算用1）'!$Q$145:$Q$152,'（計算用2）'!C6,'（計算用1）'!$R$145:$R$152)/1000</f>
        <v>0</v>
      </c>
      <c r="E6" s="123">
        <f>SUMIF('（計算用1）'!$M$188:$M$196,'（計算用2）'!C6,'（計算用1）'!$N$188:$N$196)/1000</f>
        <v>0</v>
      </c>
      <c r="F6" s="124">
        <f>D6+E6</f>
        <v>0</v>
      </c>
      <c r="G6" s="125">
        <v>0.44877</v>
      </c>
      <c r="H6" s="125">
        <v>3.4909999999999997E-2</v>
      </c>
      <c r="I6" s="124">
        <f>$D6*G6</f>
        <v>0</v>
      </c>
      <c r="J6" s="124">
        <f t="shared" ref="J6:J42" si="0">$D6*H6</f>
        <v>0</v>
      </c>
      <c r="K6" s="124">
        <f>$E6*G6</f>
        <v>0</v>
      </c>
      <c r="L6" s="124">
        <f t="shared" ref="L6:L42" si="1">$E6*H6</f>
        <v>0</v>
      </c>
      <c r="M6" s="123">
        <f>D6-SUM(I6:J6)</f>
        <v>0</v>
      </c>
      <c r="N6" s="123">
        <f>E6-SUM(K6:L6)</f>
        <v>0</v>
      </c>
      <c r="O6" s="124">
        <f>M6+N6</f>
        <v>0</v>
      </c>
      <c r="P6" s="126">
        <f>'（取引基本表）'!BH4</f>
        <v>0.81980906653216035</v>
      </c>
      <c r="Q6" s="123">
        <f>M6*$P6</f>
        <v>0</v>
      </c>
      <c r="R6" s="123">
        <f>N6*$P6</f>
        <v>0</v>
      </c>
      <c r="S6" s="123">
        <f>Q6+R6</f>
        <v>0</v>
      </c>
      <c r="T6" s="123">
        <f t="array" ref="T6:T42">MMULT('（逆行列関数表）'!C4:AM40,Q6:Q42)</f>
        <v>0</v>
      </c>
      <c r="U6" s="123" t="e">
        <f t="array" ref="U6:U42">MMULT('（逆行列関数表）'!C4:AM40,R6:R42)</f>
        <v>#DIV/0!</v>
      </c>
      <c r="V6" s="123" t="e">
        <f t="shared" ref="V6:V42" si="2">T6+U6</f>
        <v>#DIV/0!</v>
      </c>
      <c r="W6" s="123">
        <f>T6-Q6</f>
        <v>0</v>
      </c>
      <c r="X6" s="123" t="e">
        <f>U6-R6</f>
        <v>#DIV/0!</v>
      </c>
      <c r="Y6" s="123" t="e">
        <f t="shared" ref="Y6:Y42" si="3">W6+X6</f>
        <v>#DIV/0!</v>
      </c>
      <c r="Z6" s="138">
        <f t="array" ref="Z6:Z42">TRANSPOSE('（取引基本表）'!C51:AM51)</f>
        <v>0.11591983377538541</v>
      </c>
      <c r="AA6" s="123">
        <f>(Q6+R6)*$Z6</f>
        <v>0</v>
      </c>
      <c r="AB6" s="123" t="e">
        <f>'（取引基本表）'!AP4/SUM('（取引基本表）'!$AP$4:$AP$40)*$AH$49</f>
        <v>#DIV/0!</v>
      </c>
      <c r="AC6" s="123" t="e">
        <f t="shared" ref="AC6:AC42" si="4">AB6*$P6</f>
        <v>#DIV/0!</v>
      </c>
      <c r="AD6" s="123" t="e">
        <f t="array" ref="AD6:AD42">MMULT('（逆行列関数表）'!C4:AM40,AC$6:AC$42)</f>
        <v>#DIV/0!</v>
      </c>
      <c r="AE6" s="123" t="e">
        <f t="shared" ref="AE6:AE42" si="5">T6+U6+AD6</f>
        <v>#DIV/0!</v>
      </c>
    </row>
    <row r="7" spans="2:31" x14ac:dyDescent="0.2">
      <c r="B7" s="11" t="s">
        <v>408</v>
      </c>
      <c r="C7" s="11" t="s">
        <v>409</v>
      </c>
      <c r="D7" s="124">
        <f>SUMIF('（計算用1）'!$Q$145:$Q$152,'（計算用2）'!C7,'（計算用1）'!$R$145:$R$152)/1000</f>
        <v>0</v>
      </c>
      <c r="E7" s="124">
        <f>SUMIF('（計算用1）'!$M$188:$M$196,'（計算用2）'!C7,'（計算用1）'!$N$188:$N$196)/1000</f>
        <v>0</v>
      </c>
      <c r="F7" s="124">
        <f t="shared" ref="F7:F42" si="6">D7+E7</f>
        <v>0</v>
      </c>
      <c r="G7" s="125">
        <v>0.83043999999999996</v>
      </c>
      <c r="H7" s="125">
        <v>3.8539999999999998E-2</v>
      </c>
      <c r="I7" s="124">
        <f t="shared" ref="I7:I42" si="7">$D7*G7</f>
        <v>0</v>
      </c>
      <c r="J7" s="124">
        <f t="shared" si="0"/>
        <v>0</v>
      </c>
      <c r="K7" s="124">
        <f t="shared" ref="K7:K42" si="8">$E7*G7</f>
        <v>0</v>
      </c>
      <c r="L7" s="124">
        <f t="shared" si="1"/>
        <v>0</v>
      </c>
      <c r="M7" s="123">
        <f t="shared" ref="M7:M28" si="9">D7-SUM(I7:J7)</f>
        <v>0</v>
      </c>
      <c r="N7" s="123">
        <f t="shared" ref="N7:N29" si="10">E7-SUM(K7:L7)</f>
        <v>0</v>
      </c>
      <c r="O7" s="124">
        <f t="shared" ref="O7:O42" si="11">M7+N7</f>
        <v>0</v>
      </c>
      <c r="P7" s="126">
        <f>'（取引基本表）'!BH5</f>
        <v>3.8056184302966312E-2</v>
      </c>
      <c r="Q7" s="123">
        <f t="shared" ref="Q7:Q42" si="12">M7*$P7</f>
        <v>0</v>
      </c>
      <c r="R7" s="123">
        <f t="shared" ref="R7:R42" si="13">N7*$P7</f>
        <v>0</v>
      </c>
      <c r="S7" s="123">
        <f t="shared" ref="S7:S42" si="14">Q7+R7</f>
        <v>0</v>
      </c>
      <c r="T7" s="124">
        <v>0</v>
      </c>
      <c r="U7" s="124" t="e">
        <v>#DIV/0!</v>
      </c>
      <c r="V7" s="123" t="e">
        <f t="shared" si="2"/>
        <v>#DIV/0!</v>
      </c>
      <c r="W7" s="123">
        <f t="shared" ref="W7:W42" si="15">T7-Q7</f>
        <v>0</v>
      </c>
      <c r="X7" s="123" t="e">
        <f t="shared" ref="X7:X42" si="16">U7-R7</f>
        <v>#DIV/0!</v>
      </c>
      <c r="Y7" s="123" t="e">
        <f t="shared" si="3"/>
        <v>#DIV/0!</v>
      </c>
      <c r="Z7" s="138">
        <v>0.20524816756396572</v>
      </c>
      <c r="AA7" s="123">
        <f t="shared" ref="AA7:AA42" si="17">(Q7+R7)*$Z7</f>
        <v>0</v>
      </c>
      <c r="AB7" s="123" t="e">
        <f>'（取引基本表）'!AP5/SUM('（取引基本表）'!$AP$4:$AP$40)*$AH$49</f>
        <v>#DIV/0!</v>
      </c>
      <c r="AC7" s="124" t="e">
        <f t="shared" si="4"/>
        <v>#DIV/0!</v>
      </c>
      <c r="AD7" s="124" t="e">
        <v>#DIV/0!</v>
      </c>
      <c r="AE7" s="124" t="e">
        <f t="shared" si="5"/>
        <v>#DIV/0!</v>
      </c>
    </row>
    <row r="8" spans="2:31" x14ac:dyDescent="0.2">
      <c r="B8" s="11" t="s">
        <v>410</v>
      </c>
      <c r="C8" s="11" t="s">
        <v>485</v>
      </c>
      <c r="D8" s="124">
        <f>SUMIF('（計算用1）'!$Q$145:$Q$152,'（計算用2）'!C8,'（計算用1）'!$R$145:$R$152)/1000</f>
        <v>0</v>
      </c>
      <c r="E8" s="124">
        <f>SUMIF('（計算用1）'!$M$188:$M$196,'（計算用2）'!C8,'（計算用1）'!$N$188:$N$196)/1000</f>
        <v>0</v>
      </c>
      <c r="F8" s="124">
        <f t="shared" si="6"/>
        <v>0</v>
      </c>
      <c r="G8" s="125">
        <v>0.37598999999999999</v>
      </c>
      <c r="H8" s="125">
        <v>2.5739999999999999E-2</v>
      </c>
      <c r="I8" s="124">
        <f t="shared" si="7"/>
        <v>0</v>
      </c>
      <c r="J8" s="124">
        <f t="shared" si="0"/>
        <v>0</v>
      </c>
      <c r="K8" s="124">
        <f t="shared" si="8"/>
        <v>0</v>
      </c>
      <c r="L8" s="124">
        <f t="shared" si="1"/>
        <v>0</v>
      </c>
      <c r="M8" s="123">
        <f t="shared" si="9"/>
        <v>0</v>
      </c>
      <c r="N8" s="123">
        <f t="shared" si="10"/>
        <v>0</v>
      </c>
      <c r="O8" s="124">
        <f t="shared" si="11"/>
        <v>0</v>
      </c>
      <c r="P8" s="126">
        <f>'（取引基本表）'!BH6</f>
        <v>0.8282671903436144</v>
      </c>
      <c r="Q8" s="123">
        <f t="shared" si="12"/>
        <v>0</v>
      </c>
      <c r="R8" s="123">
        <f t="shared" si="13"/>
        <v>0</v>
      </c>
      <c r="S8" s="123">
        <f t="shared" si="14"/>
        <v>0</v>
      </c>
      <c r="T8" s="124">
        <v>0</v>
      </c>
      <c r="U8" s="124" t="e">
        <v>#DIV/0!</v>
      </c>
      <c r="V8" s="123" t="e">
        <f t="shared" si="2"/>
        <v>#DIV/0!</v>
      </c>
      <c r="W8" s="123">
        <f t="shared" si="15"/>
        <v>0</v>
      </c>
      <c r="X8" s="123" t="e">
        <f t="shared" si="16"/>
        <v>#DIV/0!</v>
      </c>
      <c r="Y8" s="123" t="e">
        <f t="shared" si="3"/>
        <v>#DIV/0!</v>
      </c>
      <c r="Z8" s="138">
        <v>0.13096178940528627</v>
      </c>
      <c r="AA8" s="123">
        <f t="shared" si="17"/>
        <v>0</v>
      </c>
      <c r="AB8" s="123" t="e">
        <f>'（取引基本表）'!AP6/SUM('（取引基本表）'!$AP$4:$AP$40)*$AH$49</f>
        <v>#DIV/0!</v>
      </c>
      <c r="AC8" s="124" t="e">
        <f t="shared" si="4"/>
        <v>#DIV/0!</v>
      </c>
      <c r="AD8" s="124" t="e">
        <v>#DIV/0!</v>
      </c>
      <c r="AE8" s="124" t="e">
        <f t="shared" si="5"/>
        <v>#DIV/0!</v>
      </c>
    </row>
    <row r="9" spans="2:31" x14ac:dyDescent="0.2">
      <c r="B9" s="11" t="s">
        <v>412</v>
      </c>
      <c r="C9" s="11" t="s">
        <v>413</v>
      </c>
      <c r="D9" s="124">
        <f>SUMIF('（計算用1）'!$Q$145:$Q$152,'（計算用2）'!C9,'（計算用1）'!$R$145:$R$152)/1000</f>
        <v>0</v>
      </c>
      <c r="E9" s="124">
        <f>SUMIF('（計算用1）'!$M$188:$M$196,'（計算用2）'!C9,'（計算用1）'!$N$188:$N$196)/1000</f>
        <v>0</v>
      </c>
      <c r="F9" s="124">
        <f t="shared" si="6"/>
        <v>0</v>
      </c>
      <c r="G9" s="125">
        <v>0.55920000000000003</v>
      </c>
      <c r="H9" s="125">
        <v>2.103E-2</v>
      </c>
      <c r="I9" s="124">
        <f t="shared" si="7"/>
        <v>0</v>
      </c>
      <c r="J9" s="124">
        <f t="shared" si="0"/>
        <v>0</v>
      </c>
      <c r="K9" s="124">
        <f t="shared" si="8"/>
        <v>0</v>
      </c>
      <c r="L9" s="124">
        <f t="shared" si="1"/>
        <v>0</v>
      </c>
      <c r="M9" s="123">
        <f t="shared" si="9"/>
        <v>0</v>
      </c>
      <c r="N9" s="123">
        <f t="shared" si="10"/>
        <v>0</v>
      </c>
      <c r="O9" s="124">
        <f t="shared" si="11"/>
        <v>0</v>
      </c>
      <c r="P9" s="126">
        <f>'（取引基本表）'!BH7</f>
        <v>0.36306456814730326</v>
      </c>
      <c r="Q9" s="123">
        <f t="shared" si="12"/>
        <v>0</v>
      </c>
      <c r="R9" s="123">
        <f t="shared" si="13"/>
        <v>0</v>
      </c>
      <c r="S9" s="123">
        <f t="shared" si="14"/>
        <v>0</v>
      </c>
      <c r="T9" s="124">
        <v>0</v>
      </c>
      <c r="U9" s="124" t="e">
        <v>#DIV/0!</v>
      </c>
      <c r="V9" s="123" t="e">
        <f t="shared" si="2"/>
        <v>#DIV/0!</v>
      </c>
      <c r="W9" s="123">
        <f t="shared" si="15"/>
        <v>0</v>
      </c>
      <c r="X9" s="123" t="e">
        <f t="shared" si="16"/>
        <v>#DIV/0!</v>
      </c>
      <c r="Y9" s="123" t="e">
        <f t="shared" si="3"/>
        <v>#DIV/0!</v>
      </c>
      <c r="Z9" s="138">
        <v>0.25378611266034579</v>
      </c>
      <c r="AA9" s="123">
        <f t="shared" si="17"/>
        <v>0</v>
      </c>
      <c r="AB9" s="123" t="e">
        <f>'（取引基本表）'!AP7/SUM('（取引基本表）'!$AP$4:$AP$40)*$AH$49</f>
        <v>#DIV/0!</v>
      </c>
      <c r="AC9" s="124" t="e">
        <f t="shared" si="4"/>
        <v>#DIV/0!</v>
      </c>
      <c r="AD9" s="124" t="e">
        <v>#DIV/0!</v>
      </c>
      <c r="AE9" s="124" t="e">
        <f t="shared" si="5"/>
        <v>#DIV/0!</v>
      </c>
    </row>
    <row r="10" spans="2:31" x14ac:dyDescent="0.2">
      <c r="B10" s="11" t="s">
        <v>414</v>
      </c>
      <c r="C10" s="11" t="s">
        <v>415</v>
      </c>
      <c r="D10" s="124">
        <f>SUMIF('（計算用1）'!$Q$145:$Q$152,'（計算用2）'!C10,'（計算用1）'!$R$145:$R$152)/1000</f>
        <v>0</v>
      </c>
      <c r="E10" s="124">
        <f>SUMIF('（計算用1）'!$M$188:$M$196,'（計算用2）'!C10,'（計算用1）'!$N$188:$N$196)/1000</f>
        <v>0</v>
      </c>
      <c r="F10" s="124">
        <f t="shared" si="6"/>
        <v>0</v>
      </c>
      <c r="G10" s="125">
        <v>0.57720000000000005</v>
      </c>
      <c r="H10" s="125">
        <v>3.1579999999999997E-2</v>
      </c>
      <c r="I10" s="124">
        <f t="shared" si="7"/>
        <v>0</v>
      </c>
      <c r="J10" s="124">
        <f t="shared" si="0"/>
        <v>0</v>
      </c>
      <c r="K10" s="124">
        <f t="shared" si="8"/>
        <v>0</v>
      </c>
      <c r="L10" s="124">
        <f t="shared" si="1"/>
        <v>0</v>
      </c>
      <c r="M10" s="123">
        <f t="shared" si="9"/>
        <v>0</v>
      </c>
      <c r="N10" s="123">
        <f t="shared" si="10"/>
        <v>0</v>
      </c>
      <c r="O10" s="124">
        <f t="shared" si="11"/>
        <v>0</v>
      </c>
      <c r="P10" s="126">
        <f>'（取引基本表）'!BH8</f>
        <v>0.81574676047269834</v>
      </c>
      <c r="Q10" s="123">
        <f t="shared" si="12"/>
        <v>0</v>
      </c>
      <c r="R10" s="123">
        <f t="shared" si="13"/>
        <v>0</v>
      </c>
      <c r="S10" s="123">
        <f t="shared" si="14"/>
        <v>0</v>
      </c>
      <c r="T10" s="124">
        <v>0</v>
      </c>
      <c r="U10" s="124" t="e">
        <v>#DIV/0!</v>
      </c>
      <c r="V10" s="123" t="e">
        <f t="shared" si="2"/>
        <v>#DIV/0!</v>
      </c>
      <c r="W10" s="123">
        <f t="shared" si="15"/>
        <v>0</v>
      </c>
      <c r="X10" s="123" t="e">
        <f t="shared" si="16"/>
        <v>#DIV/0!</v>
      </c>
      <c r="Y10" s="123" t="e">
        <f t="shared" si="3"/>
        <v>#DIV/0!</v>
      </c>
      <c r="Z10" s="138">
        <v>0.16585908764610313</v>
      </c>
      <c r="AA10" s="123">
        <f t="shared" si="17"/>
        <v>0</v>
      </c>
      <c r="AB10" s="123" t="e">
        <f>'（取引基本表）'!AP8/SUM('（取引基本表）'!$AP$4:$AP$40)*$AH$49</f>
        <v>#DIV/0!</v>
      </c>
      <c r="AC10" s="124" t="e">
        <f t="shared" si="4"/>
        <v>#DIV/0!</v>
      </c>
      <c r="AD10" s="124" t="e">
        <v>#DIV/0!</v>
      </c>
      <c r="AE10" s="124" t="e">
        <f t="shared" si="5"/>
        <v>#DIV/0!</v>
      </c>
    </row>
    <row r="11" spans="2:31" x14ac:dyDescent="0.2">
      <c r="B11" s="11" t="s">
        <v>416</v>
      </c>
      <c r="C11" s="11" t="s">
        <v>417</v>
      </c>
      <c r="D11" s="124">
        <f>SUMIF('（計算用1）'!$Q$145:$Q$152,'（計算用2）'!C11,'（計算用1）'!$R$145:$R$152)/1000</f>
        <v>0</v>
      </c>
      <c r="E11" s="124">
        <f>SUMIF('（計算用1）'!$M$188:$M$196,'（計算用2）'!C11,'（計算用1）'!$N$188:$N$196)/1000</f>
        <v>0</v>
      </c>
      <c r="F11" s="124">
        <f t="shared" si="6"/>
        <v>0</v>
      </c>
      <c r="G11" s="125">
        <v>0.55247999999999997</v>
      </c>
      <c r="H11" s="125">
        <v>1.146E-2</v>
      </c>
      <c r="I11" s="124">
        <f t="shared" si="7"/>
        <v>0</v>
      </c>
      <c r="J11" s="124">
        <f t="shared" si="0"/>
        <v>0</v>
      </c>
      <c r="K11" s="124">
        <f t="shared" si="8"/>
        <v>0</v>
      </c>
      <c r="L11" s="124">
        <f t="shared" si="1"/>
        <v>0</v>
      </c>
      <c r="M11" s="123">
        <f t="shared" si="9"/>
        <v>0</v>
      </c>
      <c r="N11" s="123">
        <f t="shared" si="10"/>
        <v>0</v>
      </c>
      <c r="O11" s="124">
        <f t="shared" si="11"/>
        <v>0</v>
      </c>
      <c r="P11" s="126">
        <f>'（取引基本表）'!BH9</f>
        <v>0.73706050194122419</v>
      </c>
      <c r="Q11" s="123">
        <f t="shared" si="12"/>
        <v>0</v>
      </c>
      <c r="R11" s="123">
        <f t="shared" si="13"/>
        <v>0</v>
      </c>
      <c r="S11" s="123">
        <f t="shared" si="14"/>
        <v>0</v>
      </c>
      <c r="T11" s="124">
        <v>0</v>
      </c>
      <c r="U11" s="124" t="e">
        <v>#DIV/0!</v>
      </c>
      <c r="V11" s="123" t="e">
        <f t="shared" si="2"/>
        <v>#DIV/0!</v>
      </c>
      <c r="W11" s="123">
        <f t="shared" si="15"/>
        <v>0</v>
      </c>
      <c r="X11" s="123" t="e">
        <f t="shared" si="16"/>
        <v>#DIV/0!</v>
      </c>
      <c r="Y11" s="123" t="e">
        <f t="shared" si="3"/>
        <v>#DIV/0!</v>
      </c>
      <c r="Z11" s="138">
        <v>8.916878150023716E-2</v>
      </c>
      <c r="AA11" s="123">
        <f t="shared" si="17"/>
        <v>0</v>
      </c>
      <c r="AB11" s="123" t="e">
        <f>'（取引基本表）'!AP9/SUM('（取引基本表）'!$AP$4:$AP$40)*$AH$49</f>
        <v>#DIV/0!</v>
      </c>
      <c r="AC11" s="124" t="e">
        <f t="shared" si="4"/>
        <v>#DIV/0!</v>
      </c>
      <c r="AD11" s="124" t="e">
        <v>#DIV/0!</v>
      </c>
      <c r="AE11" s="124" t="e">
        <f t="shared" si="5"/>
        <v>#DIV/0!</v>
      </c>
    </row>
    <row r="12" spans="2:31" x14ac:dyDescent="0.2">
      <c r="B12" s="11" t="s">
        <v>418</v>
      </c>
      <c r="C12" s="11" t="s">
        <v>419</v>
      </c>
      <c r="D12" s="124">
        <f>SUMIF('（計算用1）'!$Q$145:$Q$152,'（計算用2）'!C12,'（計算用1）'!$R$145:$R$152)/1000</f>
        <v>0</v>
      </c>
      <c r="E12" s="124">
        <f>SUMIF('（計算用1）'!$M$188:$M$196,'（計算用2）'!C12,'（計算用1）'!$N$188:$N$196)/1000</f>
        <v>0</v>
      </c>
      <c r="F12" s="124">
        <f t="shared" si="6"/>
        <v>0</v>
      </c>
      <c r="G12" s="125">
        <v>0.33851999999999999</v>
      </c>
      <c r="H12" s="125">
        <v>1.5689999999999999E-2</v>
      </c>
      <c r="I12" s="124">
        <f t="shared" si="7"/>
        <v>0</v>
      </c>
      <c r="J12" s="124">
        <f t="shared" si="0"/>
        <v>0</v>
      </c>
      <c r="K12" s="124">
        <f t="shared" si="8"/>
        <v>0</v>
      </c>
      <c r="L12" s="124">
        <f t="shared" si="1"/>
        <v>0</v>
      </c>
      <c r="M12" s="123">
        <f t="shared" si="9"/>
        <v>0</v>
      </c>
      <c r="N12" s="123">
        <f t="shared" si="10"/>
        <v>0</v>
      </c>
      <c r="O12" s="124">
        <f t="shared" si="11"/>
        <v>0</v>
      </c>
      <c r="P12" s="126">
        <f>'（取引基本表）'!BH10</f>
        <v>0.82116748849610421</v>
      </c>
      <c r="Q12" s="123">
        <f t="shared" si="12"/>
        <v>0</v>
      </c>
      <c r="R12" s="123">
        <f t="shared" si="13"/>
        <v>0</v>
      </c>
      <c r="S12" s="123">
        <f t="shared" si="14"/>
        <v>0</v>
      </c>
      <c r="T12" s="124">
        <v>0</v>
      </c>
      <c r="U12" s="124" t="e">
        <v>#DIV/0!</v>
      </c>
      <c r="V12" s="123" t="e">
        <f t="shared" si="2"/>
        <v>#DIV/0!</v>
      </c>
      <c r="W12" s="123">
        <f t="shared" si="15"/>
        <v>0</v>
      </c>
      <c r="X12" s="123" t="e">
        <f t="shared" si="16"/>
        <v>#DIV/0!</v>
      </c>
      <c r="Y12" s="123" t="e">
        <f t="shared" si="3"/>
        <v>#DIV/0!</v>
      </c>
      <c r="Z12" s="138">
        <v>1.1611969435351406E-2</v>
      </c>
      <c r="AA12" s="123">
        <f t="shared" si="17"/>
        <v>0</v>
      </c>
      <c r="AB12" s="123" t="e">
        <f>'（取引基本表）'!AP10/SUM('（取引基本表）'!$AP$4:$AP$40)*$AH$49</f>
        <v>#DIV/0!</v>
      </c>
      <c r="AC12" s="124" t="e">
        <f t="shared" si="4"/>
        <v>#DIV/0!</v>
      </c>
      <c r="AD12" s="124" t="e">
        <v>#DIV/0!</v>
      </c>
      <c r="AE12" s="124" t="e">
        <f t="shared" si="5"/>
        <v>#DIV/0!</v>
      </c>
    </row>
    <row r="13" spans="2:31" x14ac:dyDescent="0.2">
      <c r="B13" s="11" t="s">
        <v>420</v>
      </c>
      <c r="C13" s="11" t="s">
        <v>421</v>
      </c>
      <c r="D13" s="124">
        <f>SUMIF('（計算用1）'!$Q$145:$Q$152,'（計算用2）'!C13,'（計算用1）'!$R$145:$R$152)/1000</f>
        <v>0</v>
      </c>
      <c r="E13" s="124">
        <f>SUMIF('（計算用1）'!$M$188:$M$196,'（計算用2）'!C13,'（計算用1）'!$N$188:$N$196)/1000</f>
        <v>0</v>
      </c>
      <c r="F13" s="124">
        <f t="shared" si="6"/>
        <v>0</v>
      </c>
      <c r="G13" s="125">
        <v>0.52327000000000001</v>
      </c>
      <c r="H13" s="125">
        <v>3.8129999999999997E-2</v>
      </c>
      <c r="I13" s="124">
        <f t="shared" si="7"/>
        <v>0</v>
      </c>
      <c r="J13" s="124">
        <f t="shared" si="0"/>
        <v>0</v>
      </c>
      <c r="K13" s="124">
        <f t="shared" si="8"/>
        <v>0</v>
      </c>
      <c r="L13" s="124">
        <f t="shared" si="1"/>
        <v>0</v>
      </c>
      <c r="M13" s="123">
        <f t="shared" si="9"/>
        <v>0</v>
      </c>
      <c r="N13" s="123">
        <f t="shared" si="10"/>
        <v>0</v>
      </c>
      <c r="O13" s="124">
        <f t="shared" si="11"/>
        <v>0</v>
      </c>
      <c r="P13" s="126">
        <f>'（取引基本表）'!BH11</f>
        <v>0.85520788000868897</v>
      </c>
      <c r="Q13" s="123">
        <f t="shared" si="12"/>
        <v>0</v>
      </c>
      <c r="R13" s="123">
        <f t="shared" si="13"/>
        <v>0</v>
      </c>
      <c r="S13" s="123">
        <f t="shared" si="14"/>
        <v>0</v>
      </c>
      <c r="T13" s="124">
        <v>0</v>
      </c>
      <c r="U13" s="124" t="e">
        <v>#DIV/0!</v>
      </c>
      <c r="V13" s="123" t="e">
        <f t="shared" si="2"/>
        <v>#DIV/0!</v>
      </c>
      <c r="W13" s="123">
        <f t="shared" si="15"/>
        <v>0</v>
      </c>
      <c r="X13" s="123" t="e">
        <f t="shared" si="16"/>
        <v>#DIV/0!</v>
      </c>
      <c r="Y13" s="123" t="e">
        <f t="shared" si="3"/>
        <v>#DIV/0!</v>
      </c>
      <c r="Z13" s="138">
        <v>0.22507057621928067</v>
      </c>
      <c r="AA13" s="123">
        <f t="shared" si="17"/>
        <v>0</v>
      </c>
      <c r="AB13" s="123" t="e">
        <f>'（取引基本表）'!AP11/SUM('（取引基本表）'!$AP$4:$AP$40)*$AH$49</f>
        <v>#DIV/0!</v>
      </c>
      <c r="AC13" s="124" t="e">
        <f t="shared" si="4"/>
        <v>#DIV/0!</v>
      </c>
      <c r="AD13" s="124" t="e">
        <v>#DIV/0!</v>
      </c>
      <c r="AE13" s="124" t="e">
        <f t="shared" si="5"/>
        <v>#DIV/0!</v>
      </c>
    </row>
    <row r="14" spans="2:31" x14ac:dyDescent="0.2">
      <c r="B14" s="11" t="s">
        <v>422</v>
      </c>
      <c r="C14" s="11" t="s">
        <v>423</v>
      </c>
      <c r="D14" s="124">
        <f>SUMIF('（計算用1）'!$Q$145:$Q$152,'（計算用2）'!C14,'（計算用1）'!$R$145:$R$152)/1000</f>
        <v>0</v>
      </c>
      <c r="E14" s="124">
        <f>SUMIF('（計算用1）'!$M$188:$M$196,'（計算用2）'!C14,'（計算用1）'!$N$188:$N$196)/1000</f>
        <v>0</v>
      </c>
      <c r="F14" s="124">
        <f t="shared" si="6"/>
        <v>0</v>
      </c>
      <c r="G14" s="125">
        <v>0.55269999999999997</v>
      </c>
      <c r="H14" s="125">
        <v>2.4369999999999999E-2</v>
      </c>
      <c r="I14" s="124">
        <f t="shared" si="7"/>
        <v>0</v>
      </c>
      <c r="J14" s="124">
        <f t="shared" si="0"/>
        <v>0</v>
      </c>
      <c r="K14" s="124">
        <f t="shared" si="8"/>
        <v>0</v>
      </c>
      <c r="L14" s="124">
        <f t="shared" si="1"/>
        <v>0</v>
      </c>
      <c r="M14" s="123">
        <f t="shared" si="9"/>
        <v>0</v>
      </c>
      <c r="N14" s="123">
        <f t="shared" si="10"/>
        <v>0</v>
      </c>
      <c r="O14" s="124">
        <f t="shared" si="11"/>
        <v>0</v>
      </c>
      <c r="P14" s="126">
        <f>'（取引基本表）'!BH12</f>
        <v>0.87904044225432298</v>
      </c>
      <c r="Q14" s="123">
        <f t="shared" si="12"/>
        <v>0</v>
      </c>
      <c r="R14" s="123">
        <f t="shared" si="13"/>
        <v>0</v>
      </c>
      <c r="S14" s="123">
        <f t="shared" si="14"/>
        <v>0</v>
      </c>
      <c r="T14" s="124">
        <v>0</v>
      </c>
      <c r="U14" s="124" t="e">
        <v>#DIV/0!</v>
      </c>
      <c r="V14" s="123" t="e">
        <f t="shared" si="2"/>
        <v>#DIV/0!</v>
      </c>
      <c r="W14" s="123">
        <f t="shared" si="15"/>
        <v>0</v>
      </c>
      <c r="X14" s="123" t="e">
        <f t="shared" si="16"/>
        <v>#DIV/0!</v>
      </c>
      <c r="Y14" s="123" t="e">
        <f t="shared" si="3"/>
        <v>#DIV/0!</v>
      </c>
      <c r="Z14" s="138">
        <v>0.22437358749967118</v>
      </c>
      <c r="AA14" s="123">
        <f t="shared" si="17"/>
        <v>0</v>
      </c>
      <c r="AB14" s="123" t="e">
        <f>'（取引基本表）'!AP12/SUM('（取引基本表）'!$AP$4:$AP$40)*$AH$49</f>
        <v>#DIV/0!</v>
      </c>
      <c r="AC14" s="124" t="e">
        <f t="shared" si="4"/>
        <v>#DIV/0!</v>
      </c>
      <c r="AD14" s="124" t="e">
        <v>#DIV/0!</v>
      </c>
      <c r="AE14" s="124" t="e">
        <f t="shared" si="5"/>
        <v>#DIV/0!</v>
      </c>
    </row>
    <row r="15" spans="2:31" x14ac:dyDescent="0.2">
      <c r="B15" s="11" t="s">
        <v>424</v>
      </c>
      <c r="C15" s="11" t="s">
        <v>425</v>
      </c>
      <c r="D15" s="124">
        <f>SUMIF('（計算用1）'!$Q$145:$Q$152,'（計算用2）'!C15,'（計算用1）'!$R$145:$R$152)/1000</f>
        <v>0</v>
      </c>
      <c r="E15" s="124">
        <f>SUMIF('（計算用1）'!$M$188:$M$196,'（計算用2）'!C15,'（計算用1）'!$N$188:$N$196)/1000</f>
        <v>0</v>
      </c>
      <c r="F15" s="124">
        <f t="shared" si="6"/>
        <v>0</v>
      </c>
      <c r="G15" s="125">
        <v>0.3871</v>
      </c>
      <c r="H15" s="125">
        <v>1.6129999999999999E-2</v>
      </c>
      <c r="I15" s="124">
        <f t="shared" si="7"/>
        <v>0</v>
      </c>
      <c r="J15" s="124">
        <f t="shared" si="0"/>
        <v>0</v>
      </c>
      <c r="K15" s="124">
        <f t="shared" si="8"/>
        <v>0</v>
      </c>
      <c r="L15" s="124">
        <f t="shared" si="1"/>
        <v>0</v>
      </c>
      <c r="M15" s="123">
        <f t="shared" si="9"/>
        <v>0</v>
      </c>
      <c r="N15" s="123">
        <f t="shared" si="10"/>
        <v>0</v>
      </c>
      <c r="O15" s="124">
        <f t="shared" si="11"/>
        <v>0</v>
      </c>
      <c r="P15" s="126">
        <f>'（取引基本表）'!BH13</f>
        <v>0.95786172470399822</v>
      </c>
      <c r="Q15" s="123">
        <f t="shared" si="12"/>
        <v>0</v>
      </c>
      <c r="R15" s="123">
        <f t="shared" si="13"/>
        <v>0</v>
      </c>
      <c r="S15" s="123">
        <f t="shared" si="14"/>
        <v>0</v>
      </c>
      <c r="T15" s="124">
        <v>0</v>
      </c>
      <c r="U15" s="124" t="e">
        <v>#DIV/0!</v>
      </c>
      <c r="V15" s="123" t="e">
        <f t="shared" si="2"/>
        <v>#DIV/0!</v>
      </c>
      <c r="W15" s="123">
        <f t="shared" si="15"/>
        <v>0</v>
      </c>
      <c r="X15" s="123" t="e">
        <f t="shared" si="16"/>
        <v>#DIV/0!</v>
      </c>
      <c r="Y15" s="123" t="e">
        <f t="shared" si="3"/>
        <v>#DIV/0!</v>
      </c>
      <c r="Z15" s="138">
        <v>5.9997903646900989E-2</v>
      </c>
      <c r="AA15" s="123">
        <f t="shared" si="17"/>
        <v>0</v>
      </c>
      <c r="AB15" s="123" t="e">
        <f>'（取引基本表）'!AP13/SUM('（取引基本表）'!$AP$4:$AP$40)*$AH$49</f>
        <v>#DIV/0!</v>
      </c>
      <c r="AC15" s="124" t="e">
        <f t="shared" si="4"/>
        <v>#DIV/0!</v>
      </c>
      <c r="AD15" s="124" t="e">
        <v>#DIV/0!</v>
      </c>
      <c r="AE15" s="124" t="e">
        <f t="shared" si="5"/>
        <v>#DIV/0!</v>
      </c>
    </row>
    <row r="16" spans="2:31" x14ac:dyDescent="0.2">
      <c r="B16" s="11" t="s">
        <v>426</v>
      </c>
      <c r="C16" s="11" t="s">
        <v>427</v>
      </c>
      <c r="D16" s="124">
        <f>SUMIF('（計算用1）'!$Q$145:$Q$152,'（計算用2）'!C16,'（計算用1）'!$R$145:$R$152)/1000</f>
        <v>0</v>
      </c>
      <c r="E16" s="124">
        <f>SUMIF('（計算用1）'!$M$188:$M$196,'（計算用2）'!C16,'（計算用1）'!$N$188:$N$196)/1000</f>
        <v>0</v>
      </c>
      <c r="F16" s="124">
        <f t="shared" si="6"/>
        <v>0</v>
      </c>
      <c r="G16" s="125">
        <v>0.57616999999999996</v>
      </c>
      <c r="H16" s="125">
        <v>1.626E-2</v>
      </c>
      <c r="I16" s="124">
        <f t="shared" si="7"/>
        <v>0</v>
      </c>
      <c r="J16" s="124">
        <f t="shared" si="0"/>
        <v>0</v>
      </c>
      <c r="K16" s="124">
        <f t="shared" si="8"/>
        <v>0</v>
      </c>
      <c r="L16" s="124">
        <f t="shared" si="1"/>
        <v>0</v>
      </c>
      <c r="M16" s="123">
        <f t="shared" si="9"/>
        <v>0</v>
      </c>
      <c r="N16" s="123">
        <f t="shared" si="10"/>
        <v>0</v>
      </c>
      <c r="O16" s="124">
        <f t="shared" si="11"/>
        <v>0</v>
      </c>
      <c r="P16" s="126">
        <f>'（取引基本表）'!BH14</f>
        <v>0.6370338654719212</v>
      </c>
      <c r="Q16" s="123">
        <f t="shared" si="12"/>
        <v>0</v>
      </c>
      <c r="R16" s="123">
        <f t="shared" si="13"/>
        <v>0</v>
      </c>
      <c r="S16" s="123">
        <f t="shared" si="14"/>
        <v>0</v>
      </c>
      <c r="T16" s="124">
        <v>0</v>
      </c>
      <c r="U16" s="124" t="e">
        <v>#DIV/0!</v>
      </c>
      <c r="V16" s="123" t="e">
        <f t="shared" si="2"/>
        <v>#DIV/0!</v>
      </c>
      <c r="W16" s="123">
        <f t="shared" si="15"/>
        <v>0</v>
      </c>
      <c r="X16" s="123" t="e">
        <f t="shared" si="16"/>
        <v>#DIV/0!</v>
      </c>
      <c r="Y16" s="123" t="e">
        <f t="shared" si="3"/>
        <v>#DIV/0!</v>
      </c>
      <c r="Z16" s="138">
        <v>0.10089767544584283</v>
      </c>
      <c r="AA16" s="123">
        <f t="shared" si="17"/>
        <v>0</v>
      </c>
      <c r="AB16" s="123" t="e">
        <f>'（取引基本表）'!AP14/SUM('（取引基本表）'!$AP$4:$AP$40)*$AH$49</f>
        <v>#DIV/0!</v>
      </c>
      <c r="AC16" s="124" t="e">
        <f t="shared" si="4"/>
        <v>#DIV/0!</v>
      </c>
      <c r="AD16" s="124" t="e">
        <v>#DIV/0!</v>
      </c>
      <c r="AE16" s="124" t="e">
        <f t="shared" si="5"/>
        <v>#DIV/0!</v>
      </c>
    </row>
    <row r="17" spans="2:31" x14ac:dyDescent="0.2">
      <c r="B17" s="11" t="s">
        <v>428</v>
      </c>
      <c r="C17" s="11" t="s">
        <v>429</v>
      </c>
      <c r="D17" s="124">
        <f>SUMIF('（計算用1）'!$Q$145:$Q$152,'（計算用2）'!C17,'（計算用1）'!$R$145:$R$152)/1000</f>
        <v>0</v>
      </c>
      <c r="E17" s="124">
        <f>SUMIF('（計算用1）'!$M$188:$M$196,'（計算用2）'!C17,'（計算用1）'!$N$188:$N$196)/1000</f>
        <v>0</v>
      </c>
      <c r="F17" s="124">
        <f t="shared" si="6"/>
        <v>0</v>
      </c>
      <c r="G17" s="125">
        <v>0.53364999999999996</v>
      </c>
      <c r="H17" s="125">
        <v>1.8579999999999999E-2</v>
      </c>
      <c r="I17" s="124">
        <f t="shared" si="7"/>
        <v>0</v>
      </c>
      <c r="J17" s="124">
        <f t="shared" si="0"/>
        <v>0</v>
      </c>
      <c r="K17" s="124">
        <f t="shared" si="8"/>
        <v>0</v>
      </c>
      <c r="L17" s="124">
        <f t="shared" si="1"/>
        <v>0</v>
      </c>
      <c r="M17" s="123">
        <f t="shared" si="9"/>
        <v>0</v>
      </c>
      <c r="N17" s="123">
        <f t="shared" si="10"/>
        <v>0</v>
      </c>
      <c r="O17" s="124">
        <f t="shared" si="11"/>
        <v>0</v>
      </c>
      <c r="P17" s="126">
        <f>'（取引基本表）'!BH15</f>
        <v>0.89727420010874515</v>
      </c>
      <c r="Q17" s="123">
        <f t="shared" si="12"/>
        <v>0</v>
      </c>
      <c r="R17" s="123">
        <f t="shared" si="13"/>
        <v>0</v>
      </c>
      <c r="S17" s="123">
        <f t="shared" si="14"/>
        <v>0</v>
      </c>
      <c r="T17" s="124">
        <v>0</v>
      </c>
      <c r="U17" s="124" t="e">
        <v>#DIV/0!</v>
      </c>
      <c r="V17" s="123" t="e">
        <f t="shared" si="2"/>
        <v>#DIV/0!</v>
      </c>
      <c r="W17" s="123">
        <f t="shared" si="15"/>
        <v>0</v>
      </c>
      <c r="X17" s="123" t="e">
        <f t="shared" si="16"/>
        <v>#DIV/0!</v>
      </c>
      <c r="Y17" s="123" t="e">
        <f t="shared" si="3"/>
        <v>#DIV/0!</v>
      </c>
      <c r="Z17" s="138">
        <v>0.28699281218654016</v>
      </c>
      <c r="AA17" s="123">
        <f t="shared" si="17"/>
        <v>0</v>
      </c>
      <c r="AB17" s="123" t="e">
        <f>'（取引基本表）'!AP15/SUM('（取引基本表）'!$AP$4:$AP$40)*$AH$49</f>
        <v>#DIV/0!</v>
      </c>
      <c r="AC17" s="124" t="e">
        <f t="shared" si="4"/>
        <v>#DIV/0!</v>
      </c>
      <c r="AD17" s="124" t="e">
        <v>#DIV/0!</v>
      </c>
      <c r="AE17" s="124" t="e">
        <f t="shared" si="5"/>
        <v>#DIV/0!</v>
      </c>
    </row>
    <row r="18" spans="2:31" x14ac:dyDescent="0.2">
      <c r="B18" s="11" t="s">
        <v>430</v>
      </c>
      <c r="C18" s="11" t="s">
        <v>431</v>
      </c>
      <c r="D18" s="124">
        <f>SUMIF('（計算用1）'!$Q$145:$Q$152,'（計算用2）'!C18,'（計算用1）'!$R$145:$R$152)/1000</f>
        <v>0</v>
      </c>
      <c r="E18" s="124">
        <f>SUMIF('（計算用1）'!$M$188:$M$196,'（計算用2）'!C18,'（計算用1）'!$N$188:$N$196)/1000</f>
        <v>0</v>
      </c>
      <c r="F18" s="124">
        <f t="shared" si="6"/>
        <v>0</v>
      </c>
      <c r="G18" s="125">
        <v>0.50163999999999997</v>
      </c>
      <c r="H18" s="125">
        <v>8.1099999999999992E-3</v>
      </c>
      <c r="I18" s="124">
        <f t="shared" si="7"/>
        <v>0</v>
      </c>
      <c r="J18" s="124">
        <f t="shared" si="0"/>
        <v>0</v>
      </c>
      <c r="K18" s="124">
        <f t="shared" si="8"/>
        <v>0</v>
      </c>
      <c r="L18" s="124">
        <f t="shared" si="1"/>
        <v>0</v>
      </c>
      <c r="M18" s="123">
        <f t="shared" si="9"/>
        <v>0</v>
      </c>
      <c r="N18" s="123">
        <f t="shared" si="10"/>
        <v>0</v>
      </c>
      <c r="O18" s="124">
        <f t="shared" si="11"/>
        <v>0</v>
      </c>
      <c r="P18" s="126">
        <f>'（取引基本表）'!BH16</f>
        <v>0.82159968649057269</v>
      </c>
      <c r="Q18" s="123">
        <f t="shared" si="12"/>
        <v>0</v>
      </c>
      <c r="R18" s="123">
        <f t="shared" si="13"/>
        <v>0</v>
      </c>
      <c r="S18" s="123">
        <f t="shared" si="14"/>
        <v>0</v>
      </c>
      <c r="T18" s="124">
        <v>0</v>
      </c>
      <c r="U18" s="124" t="e">
        <v>#DIV/0!</v>
      </c>
      <c r="V18" s="123" t="e">
        <f t="shared" si="2"/>
        <v>#DIV/0!</v>
      </c>
      <c r="W18" s="123">
        <f t="shared" si="15"/>
        <v>0</v>
      </c>
      <c r="X18" s="123" t="e">
        <f t="shared" si="16"/>
        <v>#DIV/0!</v>
      </c>
      <c r="Y18" s="123" t="e">
        <f t="shared" si="3"/>
        <v>#DIV/0!</v>
      </c>
      <c r="Z18" s="138">
        <v>0.22912967542944257</v>
      </c>
      <c r="AA18" s="123">
        <f t="shared" si="17"/>
        <v>0</v>
      </c>
      <c r="AB18" s="123" t="e">
        <f>'（取引基本表）'!AP16/SUM('（取引基本表）'!$AP$4:$AP$40)*$AH$49</f>
        <v>#DIV/0!</v>
      </c>
      <c r="AC18" s="124" t="e">
        <f t="shared" si="4"/>
        <v>#DIV/0!</v>
      </c>
      <c r="AD18" s="124" t="e">
        <v>#DIV/0!</v>
      </c>
      <c r="AE18" s="124" t="e">
        <f t="shared" si="5"/>
        <v>#DIV/0!</v>
      </c>
    </row>
    <row r="19" spans="2:31" x14ac:dyDescent="0.2">
      <c r="B19" s="11" t="s">
        <v>432</v>
      </c>
      <c r="C19" s="11" t="s">
        <v>433</v>
      </c>
      <c r="D19" s="124">
        <f>SUMIF('（計算用1）'!$Q$145:$Q$152,'（計算用2）'!C19,'（計算用1）'!$R$145:$R$152)/1000</f>
        <v>0</v>
      </c>
      <c r="E19" s="124">
        <f>SUMIF('（計算用1）'!$M$188:$M$196,'（計算用2）'!C19,'（計算用1）'!$N$188:$N$196)/1000</f>
        <v>0</v>
      </c>
      <c r="F19" s="124">
        <f t="shared" si="6"/>
        <v>0</v>
      </c>
      <c r="G19" s="125">
        <v>0.69599999999999995</v>
      </c>
      <c r="H19" s="125">
        <v>5.7299999999999999E-3</v>
      </c>
      <c r="I19" s="124">
        <f t="shared" si="7"/>
        <v>0</v>
      </c>
      <c r="J19" s="124">
        <f t="shared" si="0"/>
        <v>0</v>
      </c>
      <c r="K19" s="124">
        <f t="shared" si="8"/>
        <v>0</v>
      </c>
      <c r="L19" s="124">
        <f t="shared" si="1"/>
        <v>0</v>
      </c>
      <c r="M19" s="123">
        <f t="shared" si="9"/>
        <v>0</v>
      </c>
      <c r="N19" s="123">
        <f t="shared" si="10"/>
        <v>0</v>
      </c>
      <c r="O19" s="124">
        <f t="shared" si="11"/>
        <v>0</v>
      </c>
      <c r="P19" s="126">
        <f>'（取引基本表）'!BH17</f>
        <v>0.83507220239527469</v>
      </c>
      <c r="Q19" s="123">
        <f t="shared" si="12"/>
        <v>0</v>
      </c>
      <c r="R19" s="123">
        <f t="shared" si="13"/>
        <v>0</v>
      </c>
      <c r="S19" s="123">
        <f t="shared" si="14"/>
        <v>0</v>
      </c>
      <c r="T19" s="124">
        <v>0</v>
      </c>
      <c r="U19" s="124" t="e">
        <v>#DIV/0!</v>
      </c>
      <c r="V19" s="123" t="e">
        <f t="shared" si="2"/>
        <v>#DIV/0!</v>
      </c>
      <c r="W19" s="123">
        <f t="shared" si="15"/>
        <v>0</v>
      </c>
      <c r="X19" s="123" t="e">
        <f t="shared" si="16"/>
        <v>#DIV/0!</v>
      </c>
      <c r="Y19" s="123" t="e">
        <f t="shared" si="3"/>
        <v>#DIV/0!</v>
      </c>
      <c r="Z19" s="138">
        <v>0.23865054630901322</v>
      </c>
      <c r="AA19" s="123">
        <f t="shared" si="17"/>
        <v>0</v>
      </c>
      <c r="AB19" s="123" t="e">
        <f>'（取引基本表）'!AP17/SUM('（取引基本表）'!$AP$4:$AP$40)*$AH$49</f>
        <v>#DIV/0!</v>
      </c>
      <c r="AC19" s="124" t="e">
        <f t="shared" si="4"/>
        <v>#DIV/0!</v>
      </c>
      <c r="AD19" s="124" t="e">
        <v>#DIV/0!</v>
      </c>
      <c r="AE19" s="124" t="e">
        <f t="shared" si="5"/>
        <v>#DIV/0!</v>
      </c>
    </row>
    <row r="20" spans="2:31" x14ac:dyDescent="0.2">
      <c r="B20" s="11" t="s">
        <v>434</v>
      </c>
      <c r="C20" s="11" t="s">
        <v>435</v>
      </c>
      <c r="D20" s="124">
        <f>SUMIF('（計算用1）'!$Q$145:$Q$152,'（計算用2）'!C20,'（計算用1）'!$R$145:$R$152)/1000</f>
        <v>0</v>
      </c>
      <c r="E20" s="124">
        <f>SUMIF('（計算用1）'!$M$188:$M$196,'（計算用2）'!C20,'（計算用1）'!$N$188:$N$196)/1000</f>
        <v>0</v>
      </c>
      <c r="F20" s="124">
        <f t="shared" si="6"/>
        <v>0</v>
      </c>
      <c r="G20" s="125">
        <v>0.70589000000000002</v>
      </c>
      <c r="H20" s="125">
        <v>4.8999999999999998E-3</v>
      </c>
      <c r="I20" s="124">
        <f t="shared" si="7"/>
        <v>0</v>
      </c>
      <c r="J20" s="124">
        <f t="shared" si="0"/>
        <v>0</v>
      </c>
      <c r="K20" s="124">
        <f t="shared" si="8"/>
        <v>0</v>
      </c>
      <c r="L20" s="124">
        <f t="shared" si="1"/>
        <v>0</v>
      </c>
      <c r="M20" s="123">
        <f t="shared" si="9"/>
        <v>0</v>
      </c>
      <c r="N20" s="123">
        <f t="shared" si="10"/>
        <v>0</v>
      </c>
      <c r="O20" s="124">
        <f t="shared" si="11"/>
        <v>0</v>
      </c>
      <c r="P20" s="126">
        <f>'（取引基本表）'!BH18</f>
        <v>0.69805529937291644</v>
      </c>
      <c r="Q20" s="123">
        <f t="shared" si="12"/>
        <v>0</v>
      </c>
      <c r="R20" s="123">
        <f t="shared" si="13"/>
        <v>0</v>
      </c>
      <c r="S20" s="123">
        <f t="shared" si="14"/>
        <v>0</v>
      </c>
      <c r="T20" s="124">
        <v>0</v>
      </c>
      <c r="U20" s="124" t="e">
        <v>#DIV/0!</v>
      </c>
      <c r="V20" s="123" t="e">
        <f t="shared" si="2"/>
        <v>#DIV/0!</v>
      </c>
      <c r="W20" s="123">
        <f t="shared" si="15"/>
        <v>0</v>
      </c>
      <c r="X20" s="123" t="e">
        <f t="shared" si="16"/>
        <v>#DIV/0!</v>
      </c>
      <c r="Y20" s="123" t="e">
        <f t="shared" si="3"/>
        <v>#DIV/0!</v>
      </c>
      <c r="Z20" s="138">
        <v>0.20197007228426983</v>
      </c>
      <c r="AA20" s="123">
        <f t="shared" si="17"/>
        <v>0</v>
      </c>
      <c r="AB20" s="123" t="e">
        <f>'（取引基本表）'!AP18/SUM('（取引基本表）'!$AP$4:$AP$40)*$AH$49</f>
        <v>#DIV/0!</v>
      </c>
      <c r="AC20" s="124" t="e">
        <f t="shared" si="4"/>
        <v>#DIV/0!</v>
      </c>
      <c r="AD20" s="124" t="e">
        <v>#DIV/0!</v>
      </c>
      <c r="AE20" s="124" t="e">
        <f t="shared" si="5"/>
        <v>#DIV/0!</v>
      </c>
    </row>
    <row r="21" spans="2:31" x14ac:dyDescent="0.2">
      <c r="B21" s="11" t="s">
        <v>436</v>
      </c>
      <c r="C21" s="11" t="s">
        <v>437</v>
      </c>
      <c r="D21" s="124">
        <f>SUMIF('（計算用1）'!$Q$145:$Q$152,'（計算用2）'!C21,'（計算用1）'!$R$145:$R$152)/1000</f>
        <v>0</v>
      </c>
      <c r="E21" s="124">
        <f>SUMIF('（計算用1）'!$M$188:$M$196,'（計算用2）'!C21,'（計算用1）'!$N$188:$N$196)/1000</f>
        <v>0</v>
      </c>
      <c r="F21" s="124">
        <f t="shared" si="6"/>
        <v>0</v>
      </c>
      <c r="G21" s="125">
        <v>0.26346999999999998</v>
      </c>
      <c r="H21" s="125">
        <v>1.119E-2</v>
      </c>
      <c r="I21" s="124">
        <f t="shared" si="7"/>
        <v>0</v>
      </c>
      <c r="J21" s="124">
        <f t="shared" si="0"/>
        <v>0</v>
      </c>
      <c r="K21" s="124">
        <f t="shared" si="8"/>
        <v>0</v>
      </c>
      <c r="L21" s="124">
        <f t="shared" si="1"/>
        <v>0</v>
      </c>
      <c r="M21" s="123">
        <f t="shared" si="9"/>
        <v>0</v>
      </c>
      <c r="N21" s="123">
        <f t="shared" si="10"/>
        <v>0</v>
      </c>
      <c r="O21" s="124">
        <f t="shared" si="11"/>
        <v>0</v>
      </c>
      <c r="P21" s="126">
        <f>'（取引基本表）'!BH19</f>
        <v>0.61871700661183116</v>
      </c>
      <c r="Q21" s="123">
        <f t="shared" si="12"/>
        <v>0</v>
      </c>
      <c r="R21" s="123">
        <f t="shared" si="13"/>
        <v>0</v>
      </c>
      <c r="S21" s="123">
        <f t="shared" si="14"/>
        <v>0</v>
      </c>
      <c r="T21" s="124">
        <v>0</v>
      </c>
      <c r="U21" s="124" t="e">
        <v>#DIV/0!</v>
      </c>
      <c r="V21" s="123" t="e">
        <f t="shared" si="2"/>
        <v>#DIV/0!</v>
      </c>
      <c r="W21" s="123">
        <f t="shared" si="15"/>
        <v>0</v>
      </c>
      <c r="X21" s="123" t="e">
        <f t="shared" si="16"/>
        <v>#DIV/0!</v>
      </c>
      <c r="Y21" s="123" t="e">
        <f t="shared" si="3"/>
        <v>#DIV/0!</v>
      </c>
      <c r="Z21" s="138">
        <v>0.20364981482088912</v>
      </c>
      <c r="AA21" s="123">
        <f t="shared" si="17"/>
        <v>0</v>
      </c>
      <c r="AB21" s="123" t="e">
        <f>'（取引基本表）'!AP19/SUM('（取引基本表）'!$AP$4:$AP$40)*$AH$49</f>
        <v>#DIV/0!</v>
      </c>
      <c r="AC21" s="124" t="e">
        <f t="shared" si="4"/>
        <v>#DIV/0!</v>
      </c>
      <c r="AD21" s="124" t="e">
        <v>#DIV/0!</v>
      </c>
      <c r="AE21" s="124" t="e">
        <f t="shared" si="5"/>
        <v>#DIV/0!</v>
      </c>
    </row>
    <row r="22" spans="2:31" x14ac:dyDescent="0.2">
      <c r="B22" s="11" t="s">
        <v>438</v>
      </c>
      <c r="C22" s="11" t="s">
        <v>439</v>
      </c>
      <c r="D22" s="124">
        <f>SUMIF('（計算用1）'!$Q$145:$Q$152,'（計算用2）'!C22,'（計算用1）'!$R$145:$R$152)/1000</f>
        <v>0</v>
      </c>
      <c r="E22" s="124">
        <f>SUMIF('（計算用1）'!$M$188:$M$196,'（計算用2）'!C22,'（計算用1）'!$N$188:$N$196)/1000</f>
        <v>0</v>
      </c>
      <c r="F22" s="124">
        <f t="shared" si="6"/>
        <v>0</v>
      </c>
      <c r="G22" s="125">
        <v>0.40239999999999998</v>
      </c>
      <c r="H22" s="125">
        <v>6.7299999999999999E-3</v>
      </c>
      <c r="I22" s="124">
        <f t="shared" si="7"/>
        <v>0</v>
      </c>
      <c r="J22" s="124">
        <f t="shared" si="0"/>
        <v>0</v>
      </c>
      <c r="K22" s="124">
        <f t="shared" si="8"/>
        <v>0</v>
      </c>
      <c r="L22" s="124">
        <f t="shared" si="1"/>
        <v>0</v>
      </c>
      <c r="M22" s="123">
        <f t="shared" si="9"/>
        <v>0</v>
      </c>
      <c r="N22" s="123">
        <f t="shared" si="10"/>
        <v>0</v>
      </c>
      <c r="O22" s="124">
        <f t="shared" si="11"/>
        <v>0</v>
      </c>
      <c r="P22" s="126">
        <f>'（取引基本表）'!BH20</f>
        <v>0.67676652853676988</v>
      </c>
      <c r="Q22" s="123">
        <f t="shared" si="12"/>
        <v>0</v>
      </c>
      <c r="R22" s="123">
        <f t="shared" si="13"/>
        <v>0</v>
      </c>
      <c r="S22" s="123">
        <f t="shared" si="14"/>
        <v>0</v>
      </c>
      <c r="T22" s="124">
        <v>0</v>
      </c>
      <c r="U22" s="124" t="e">
        <v>#DIV/0!</v>
      </c>
      <c r="V22" s="123" t="e">
        <f t="shared" si="2"/>
        <v>#DIV/0!</v>
      </c>
      <c r="W22" s="123">
        <f t="shared" si="15"/>
        <v>0</v>
      </c>
      <c r="X22" s="123" t="e">
        <f t="shared" si="16"/>
        <v>#DIV/0!</v>
      </c>
      <c r="Y22" s="123" t="e">
        <f t="shared" si="3"/>
        <v>#DIV/0!</v>
      </c>
      <c r="Z22" s="138">
        <v>0.19356210751485894</v>
      </c>
      <c r="AA22" s="123">
        <f t="shared" si="17"/>
        <v>0</v>
      </c>
      <c r="AB22" s="123" t="e">
        <f>'（取引基本表）'!AP20/SUM('（取引基本表）'!$AP$4:$AP$40)*$AH$49</f>
        <v>#DIV/0!</v>
      </c>
      <c r="AC22" s="124" t="e">
        <f t="shared" si="4"/>
        <v>#DIV/0!</v>
      </c>
      <c r="AD22" s="124" t="e">
        <v>#DIV/0!</v>
      </c>
      <c r="AE22" s="124" t="e">
        <f t="shared" si="5"/>
        <v>#DIV/0!</v>
      </c>
    </row>
    <row r="23" spans="2:31" x14ac:dyDescent="0.2">
      <c r="B23" s="11" t="s">
        <v>440</v>
      </c>
      <c r="C23" s="11" t="s">
        <v>441</v>
      </c>
      <c r="D23" s="124">
        <f>SUMIF('（計算用1）'!$Q$145:$Q$152,'（計算用2）'!C23,'（計算用1）'!$R$145:$R$152)/1000</f>
        <v>0</v>
      </c>
      <c r="E23" s="124">
        <f>SUMIF('（計算用1）'!$M$188:$M$196,'（計算用2）'!C23,'（計算用1）'!$N$188:$N$196)/1000</f>
        <v>0</v>
      </c>
      <c r="F23" s="124">
        <f t="shared" si="6"/>
        <v>0</v>
      </c>
      <c r="G23" s="125">
        <v>0.27023000000000003</v>
      </c>
      <c r="H23" s="125">
        <v>7.6099999999999996E-3</v>
      </c>
      <c r="I23" s="124">
        <f t="shared" si="7"/>
        <v>0</v>
      </c>
      <c r="J23" s="124">
        <f t="shared" si="0"/>
        <v>0</v>
      </c>
      <c r="K23" s="124">
        <f t="shared" si="8"/>
        <v>0</v>
      </c>
      <c r="L23" s="124">
        <f t="shared" si="1"/>
        <v>0</v>
      </c>
      <c r="M23" s="123">
        <f t="shared" si="9"/>
        <v>0</v>
      </c>
      <c r="N23" s="123">
        <f t="shared" si="10"/>
        <v>0</v>
      </c>
      <c r="O23" s="124">
        <f t="shared" si="11"/>
        <v>0</v>
      </c>
      <c r="P23" s="126">
        <f>'（取引基本表）'!BH21</f>
        <v>0.37357218391983604</v>
      </c>
      <c r="Q23" s="123">
        <f t="shared" si="12"/>
        <v>0</v>
      </c>
      <c r="R23" s="123">
        <f t="shared" si="13"/>
        <v>0</v>
      </c>
      <c r="S23" s="123">
        <f t="shared" si="14"/>
        <v>0</v>
      </c>
      <c r="T23" s="124">
        <v>0</v>
      </c>
      <c r="U23" s="124" t="e">
        <v>#DIV/0!</v>
      </c>
      <c r="V23" s="123" t="e">
        <f t="shared" si="2"/>
        <v>#DIV/0!</v>
      </c>
      <c r="W23" s="123">
        <f t="shared" si="15"/>
        <v>0</v>
      </c>
      <c r="X23" s="123" t="e">
        <f t="shared" si="16"/>
        <v>#DIV/0!</v>
      </c>
      <c r="Y23" s="123" t="e">
        <f t="shared" si="3"/>
        <v>#DIV/0!</v>
      </c>
      <c r="Z23" s="138">
        <v>0.19139203806130714</v>
      </c>
      <c r="AA23" s="123">
        <f t="shared" si="17"/>
        <v>0</v>
      </c>
      <c r="AB23" s="123" t="e">
        <f>'（取引基本表）'!AP21/SUM('（取引基本表）'!$AP$4:$AP$40)*$AH$49</f>
        <v>#DIV/0!</v>
      </c>
      <c r="AC23" s="124" t="e">
        <f t="shared" si="4"/>
        <v>#DIV/0!</v>
      </c>
      <c r="AD23" s="124" t="e">
        <v>#DIV/0!</v>
      </c>
      <c r="AE23" s="124" t="e">
        <f t="shared" si="5"/>
        <v>#DIV/0!</v>
      </c>
    </row>
    <row r="24" spans="2:31" x14ac:dyDescent="0.2">
      <c r="B24" s="11" t="s">
        <v>442</v>
      </c>
      <c r="C24" s="11" t="s">
        <v>443</v>
      </c>
      <c r="D24" s="124">
        <f>SUMIF('（計算用1）'!$Q$145:$Q$152,'（計算用2）'!C24,'（計算用1）'!$R$145:$R$152)/1000</f>
        <v>0</v>
      </c>
      <c r="E24" s="124">
        <f>SUMIF('（計算用1）'!$M$188:$M$196,'（計算用2）'!C24,'（計算用1）'!$N$188:$N$196)/1000</f>
        <v>0</v>
      </c>
      <c r="F24" s="124">
        <f t="shared" si="6"/>
        <v>0</v>
      </c>
      <c r="G24" s="125">
        <v>0.32529000000000002</v>
      </c>
      <c r="H24" s="125">
        <v>1.5640000000000001E-2</v>
      </c>
      <c r="I24" s="124">
        <f t="shared" si="7"/>
        <v>0</v>
      </c>
      <c r="J24" s="124">
        <f t="shared" si="0"/>
        <v>0</v>
      </c>
      <c r="K24" s="124">
        <f t="shared" si="8"/>
        <v>0</v>
      </c>
      <c r="L24" s="124">
        <f t="shared" si="1"/>
        <v>0</v>
      </c>
      <c r="M24" s="123">
        <f t="shared" si="9"/>
        <v>0</v>
      </c>
      <c r="N24" s="123">
        <f t="shared" si="10"/>
        <v>0</v>
      </c>
      <c r="O24" s="124">
        <f t="shared" si="11"/>
        <v>0</v>
      </c>
      <c r="P24" s="126">
        <f>'（取引基本表）'!BH22</f>
        <v>0.88941945710227466</v>
      </c>
      <c r="Q24" s="123">
        <f t="shared" si="12"/>
        <v>0</v>
      </c>
      <c r="R24" s="123">
        <f t="shared" si="13"/>
        <v>0</v>
      </c>
      <c r="S24" s="123">
        <f t="shared" si="14"/>
        <v>0</v>
      </c>
      <c r="T24" s="124">
        <v>0</v>
      </c>
      <c r="U24" s="124" t="e">
        <v>#DIV/0!</v>
      </c>
      <c r="V24" s="123" t="e">
        <f t="shared" si="2"/>
        <v>#DIV/0!</v>
      </c>
      <c r="W24" s="123">
        <f t="shared" si="15"/>
        <v>0</v>
      </c>
      <c r="X24" s="123" t="e">
        <f t="shared" si="16"/>
        <v>#DIV/0!</v>
      </c>
      <c r="Y24" s="123" t="e">
        <f t="shared" si="3"/>
        <v>#DIV/0!</v>
      </c>
      <c r="Z24" s="138">
        <v>0.12848876586868077</v>
      </c>
      <c r="AA24" s="123">
        <f t="shared" si="17"/>
        <v>0</v>
      </c>
      <c r="AB24" s="123" t="e">
        <f>'（取引基本表）'!AP22/SUM('（取引基本表）'!$AP$4:$AP$40)*$AH$49</f>
        <v>#DIV/0!</v>
      </c>
      <c r="AC24" s="124" t="e">
        <f t="shared" si="4"/>
        <v>#DIV/0!</v>
      </c>
      <c r="AD24" s="124" t="e">
        <v>#DIV/0!</v>
      </c>
      <c r="AE24" s="124" t="e">
        <f t="shared" si="5"/>
        <v>#DIV/0!</v>
      </c>
    </row>
    <row r="25" spans="2:31" x14ac:dyDescent="0.2">
      <c r="B25" s="11" t="s">
        <v>444</v>
      </c>
      <c r="C25" s="11" t="s">
        <v>445</v>
      </c>
      <c r="D25" s="124">
        <f>SUMIF('（計算用1）'!$Q$145:$Q$152,'（計算用2）'!C25,'（計算用1）'!$R$145:$R$152)/1000</f>
        <v>0</v>
      </c>
      <c r="E25" s="124" t="e">
        <f>SUMIF('（計算用1）'!$M$188:$M$196,'（計算用2）'!C25,'（計算用1）'!$N$188:$N$196)/1000</f>
        <v>#DIV/0!</v>
      </c>
      <c r="F25" s="124" t="e">
        <f t="shared" si="6"/>
        <v>#DIV/0!</v>
      </c>
      <c r="G25" s="125">
        <v>0.54708000000000001</v>
      </c>
      <c r="H25" s="125">
        <v>1.8749999999999999E-2</v>
      </c>
      <c r="I25" s="124">
        <f t="shared" si="7"/>
        <v>0</v>
      </c>
      <c r="J25" s="124">
        <f t="shared" si="0"/>
        <v>0</v>
      </c>
      <c r="K25" s="124" t="e">
        <f t="shared" si="8"/>
        <v>#DIV/0!</v>
      </c>
      <c r="L25" s="124" t="e">
        <f>$E25*H25</f>
        <v>#DIV/0!</v>
      </c>
      <c r="M25" s="123">
        <f t="shared" si="9"/>
        <v>0</v>
      </c>
      <c r="N25" s="123" t="e">
        <f t="shared" si="10"/>
        <v>#DIV/0!</v>
      </c>
      <c r="O25" s="124" t="e">
        <f t="shared" si="11"/>
        <v>#DIV/0!</v>
      </c>
      <c r="P25" s="126">
        <f>'（取引基本表）'!BH23</f>
        <v>0.72712376030992054</v>
      </c>
      <c r="Q25" s="123">
        <f t="shared" si="12"/>
        <v>0</v>
      </c>
      <c r="R25" s="123" t="e">
        <f>N25*$P25</f>
        <v>#DIV/0!</v>
      </c>
      <c r="S25" s="123" t="e">
        <f t="shared" si="14"/>
        <v>#DIV/0!</v>
      </c>
      <c r="T25" s="124">
        <v>0</v>
      </c>
      <c r="U25" s="124" t="e">
        <v>#DIV/0!</v>
      </c>
      <c r="V25" s="123" t="e">
        <f t="shared" si="2"/>
        <v>#DIV/0!</v>
      </c>
      <c r="W25" s="123">
        <f t="shared" si="15"/>
        <v>0</v>
      </c>
      <c r="X25" s="123" t="e">
        <f t="shared" si="16"/>
        <v>#DIV/0!</v>
      </c>
      <c r="Y25" s="123" t="e">
        <f t="shared" si="3"/>
        <v>#DIV/0!</v>
      </c>
      <c r="Z25" s="138">
        <v>0.25631833743180421</v>
      </c>
      <c r="AA25" s="123" t="e">
        <f t="shared" si="17"/>
        <v>#DIV/0!</v>
      </c>
      <c r="AB25" s="123" t="e">
        <f>'（取引基本表）'!AP23/SUM('（取引基本表）'!$AP$4:$AP$40)*$AH$49</f>
        <v>#DIV/0!</v>
      </c>
      <c r="AC25" s="124" t="e">
        <f t="shared" si="4"/>
        <v>#DIV/0!</v>
      </c>
      <c r="AD25" s="124" t="e">
        <v>#DIV/0!</v>
      </c>
      <c r="AE25" s="124" t="e">
        <f t="shared" si="5"/>
        <v>#DIV/0!</v>
      </c>
    </row>
    <row r="26" spans="2:31" x14ac:dyDescent="0.2">
      <c r="B26" s="11" t="s">
        <v>446</v>
      </c>
      <c r="C26" s="11" t="s">
        <v>447</v>
      </c>
      <c r="D26" s="124">
        <f>SUMIF('（計算用1）'!$Q$145:$Q$152,'（計算用2）'!C26,'（計算用1）'!$R$145:$R$152)/1000</f>
        <v>0</v>
      </c>
      <c r="E26" s="124">
        <f>SUMIF('（計算用1）'!$M$188:$M$196,'（計算用2）'!C26,'（計算用1）'!$N$188:$N$196)/1000</f>
        <v>0</v>
      </c>
      <c r="F26" s="124">
        <f t="shared" si="6"/>
        <v>0</v>
      </c>
      <c r="G26" s="125">
        <v>0</v>
      </c>
      <c r="H26" s="125">
        <v>0</v>
      </c>
      <c r="I26" s="124">
        <f t="shared" si="7"/>
        <v>0</v>
      </c>
      <c r="J26" s="124">
        <f t="shared" si="0"/>
        <v>0</v>
      </c>
      <c r="K26" s="124">
        <f t="shared" si="8"/>
        <v>0</v>
      </c>
      <c r="L26" s="124">
        <f t="shared" si="1"/>
        <v>0</v>
      </c>
      <c r="M26" s="123">
        <f t="shared" si="9"/>
        <v>0</v>
      </c>
      <c r="N26" s="123">
        <f t="shared" si="10"/>
        <v>0</v>
      </c>
      <c r="O26" s="124">
        <f t="shared" si="11"/>
        <v>0</v>
      </c>
      <c r="P26" s="126">
        <f>'（取引基本表）'!BH24</f>
        <v>1</v>
      </c>
      <c r="Q26" s="123">
        <f t="shared" si="12"/>
        <v>0</v>
      </c>
      <c r="R26" s="123">
        <f t="shared" si="13"/>
        <v>0</v>
      </c>
      <c r="S26" s="123">
        <f t="shared" si="14"/>
        <v>0</v>
      </c>
      <c r="T26" s="124">
        <v>0</v>
      </c>
      <c r="U26" s="124" t="e">
        <v>#DIV/0!</v>
      </c>
      <c r="V26" s="123" t="e">
        <f t="shared" si="2"/>
        <v>#DIV/0!</v>
      </c>
      <c r="W26" s="123">
        <f t="shared" si="15"/>
        <v>0</v>
      </c>
      <c r="X26" s="123" t="e">
        <f t="shared" si="16"/>
        <v>#DIV/0!</v>
      </c>
      <c r="Y26" s="123" t="e">
        <f t="shared" si="3"/>
        <v>#DIV/0!</v>
      </c>
      <c r="Z26" s="138">
        <v>0.349486211163552</v>
      </c>
      <c r="AA26" s="123">
        <f t="shared" si="17"/>
        <v>0</v>
      </c>
      <c r="AB26" s="123" t="e">
        <f>'（取引基本表）'!AP24/SUM('（取引基本表）'!$AP$4:$AP$40)*$AH$49</f>
        <v>#DIV/0!</v>
      </c>
      <c r="AC26" s="124" t="e">
        <f t="shared" si="4"/>
        <v>#DIV/0!</v>
      </c>
      <c r="AD26" s="124" t="e">
        <v>#DIV/0!</v>
      </c>
      <c r="AE26" s="124" t="e">
        <f t="shared" si="5"/>
        <v>#DIV/0!</v>
      </c>
    </row>
    <row r="27" spans="2:31" x14ac:dyDescent="0.2">
      <c r="B27" s="11" t="s">
        <v>448</v>
      </c>
      <c r="C27" s="11" t="s">
        <v>449</v>
      </c>
      <c r="D27" s="124">
        <f>SUMIF('（計算用1）'!$Q$145:$Q$152,'（計算用2）'!C27,'（計算用1）'!$R$145:$R$152)/1000</f>
        <v>0</v>
      </c>
      <c r="E27" s="124">
        <f>SUMIF('（計算用1）'!$M$188:$M$196,'（計算用2）'!C27,'（計算用1）'!$N$188:$N$196)/1000</f>
        <v>0</v>
      </c>
      <c r="F27" s="124">
        <f t="shared" si="6"/>
        <v>0</v>
      </c>
      <c r="G27" s="125">
        <v>0</v>
      </c>
      <c r="H27" s="125">
        <v>0</v>
      </c>
      <c r="I27" s="124">
        <f t="shared" si="7"/>
        <v>0</v>
      </c>
      <c r="J27" s="124">
        <f t="shared" si="0"/>
        <v>0</v>
      </c>
      <c r="K27" s="124">
        <f t="shared" si="8"/>
        <v>0</v>
      </c>
      <c r="L27" s="124">
        <f t="shared" si="1"/>
        <v>0</v>
      </c>
      <c r="M27" s="123">
        <f t="shared" si="9"/>
        <v>0</v>
      </c>
      <c r="N27" s="123">
        <f t="shared" si="10"/>
        <v>0</v>
      </c>
      <c r="O27" s="124">
        <f t="shared" si="11"/>
        <v>0</v>
      </c>
      <c r="P27" s="126">
        <f>'（取引基本表）'!BH25</f>
        <v>0.99992866627086552</v>
      </c>
      <c r="Q27" s="123">
        <f t="shared" si="12"/>
        <v>0</v>
      </c>
      <c r="R27" s="123">
        <f t="shared" si="13"/>
        <v>0</v>
      </c>
      <c r="S27" s="123">
        <f t="shared" si="14"/>
        <v>0</v>
      </c>
      <c r="T27" s="124">
        <v>0</v>
      </c>
      <c r="U27" s="124" t="e">
        <v>#DIV/0!</v>
      </c>
      <c r="V27" s="123" t="e">
        <f t="shared" si="2"/>
        <v>#DIV/0!</v>
      </c>
      <c r="W27" s="123">
        <f t="shared" si="15"/>
        <v>0</v>
      </c>
      <c r="X27" s="123" t="e">
        <f t="shared" si="16"/>
        <v>#DIV/0!</v>
      </c>
      <c r="Y27" s="123" t="e">
        <f t="shared" si="3"/>
        <v>#DIV/0!</v>
      </c>
      <c r="Z27" s="138">
        <v>7.8695985245258851E-2</v>
      </c>
      <c r="AA27" s="123">
        <f t="shared" si="17"/>
        <v>0</v>
      </c>
      <c r="AB27" s="123" t="e">
        <f>'（取引基本表）'!AP25/SUM('（取引基本表）'!$AP$4:$AP$40)*$AH$49</f>
        <v>#DIV/0!</v>
      </c>
      <c r="AC27" s="124" t="e">
        <f t="shared" si="4"/>
        <v>#DIV/0!</v>
      </c>
      <c r="AD27" s="124" t="e">
        <v>#DIV/0!</v>
      </c>
      <c r="AE27" s="124" t="e">
        <f t="shared" si="5"/>
        <v>#DIV/0!</v>
      </c>
    </row>
    <row r="28" spans="2:31" x14ac:dyDescent="0.2">
      <c r="B28" s="11" t="s">
        <v>450</v>
      </c>
      <c r="C28" s="11" t="s">
        <v>451</v>
      </c>
      <c r="D28" s="124">
        <f>SUMIF('（計算用1）'!$Q$145:$Q$152,'（計算用2）'!C28,'（計算用1）'!$R$145:$R$152)/1000</f>
        <v>0</v>
      </c>
      <c r="E28" s="124">
        <f>SUMIF('（計算用1）'!$M$188:$M$196,'（計算用2）'!C28,'（計算用1）'!$N$188:$N$196)/1000</f>
        <v>0</v>
      </c>
      <c r="F28" s="124">
        <f t="shared" si="6"/>
        <v>0</v>
      </c>
      <c r="G28" s="125">
        <v>0</v>
      </c>
      <c r="H28" s="125">
        <v>0</v>
      </c>
      <c r="I28" s="124">
        <f t="shared" si="7"/>
        <v>0</v>
      </c>
      <c r="J28" s="124">
        <f t="shared" si="0"/>
        <v>0</v>
      </c>
      <c r="K28" s="124">
        <f t="shared" si="8"/>
        <v>0</v>
      </c>
      <c r="L28" s="124">
        <f t="shared" si="1"/>
        <v>0</v>
      </c>
      <c r="M28" s="123">
        <f t="shared" si="9"/>
        <v>0</v>
      </c>
      <c r="N28" s="123">
        <f t="shared" si="10"/>
        <v>0</v>
      </c>
      <c r="O28" s="124">
        <f t="shared" si="11"/>
        <v>0</v>
      </c>
      <c r="P28" s="126">
        <f>'（取引基本表）'!BH26</f>
        <v>0.99966108854647195</v>
      </c>
      <c r="Q28" s="123">
        <f t="shared" si="12"/>
        <v>0</v>
      </c>
      <c r="R28" s="123">
        <f t="shared" si="13"/>
        <v>0</v>
      </c>
      <c r="S28" s="123">
        <f t="shared" si="14"/>
        <v>0</v>
      </c>
      <c r="T28" s="124">
        <v>0</v>
      </c>
      <c r="U28" s="124" t="e">
        <v>#DIV/0!</v>
      </c>
      <c r="V28" s="123" t="e">
        <f t="shared" si="2"/>
        <v>#DIV/0!</v>
      </c>
      <c r="W28" s="123">
        <f t="shared" si="15"/>
        <v>0</v>
      </c>
      <c r="X28" s="123" t="e">
        <f t="shared" si="16"/>
        <v>#DIV/0!</v>
      </c>
      <c r="Y28" s="123" t="e">
        <f t="shared" si="3"/>
        <v>#DIV/0!</v>
      </c>
      <c r="Z28" s="138">
        <v>0.14353648261281815</v>
      </c>
      <c r="AA28" s="123">
        <f t="shared" si="17"/>
        <v>0</v>
      </c>
      <c r="AB28" s="123" t="e">
        <f>'（取引基本表）'!AP26/SUM('（取引基本表）'!$AP$4:$AP$40)*$AH$49</f>
        <v>#DIV/0!</v>
      </c>
      <c r="AC28" s="124" t="e">
        <f t="shared" si="4"/>
        <v>#DIV/0!</v>
      </c>
      <c r="AD28" s="124" t="e">
        <v>#DIV/0!</v>
      </c>
      <c r="AE28" s="124" t="e">
        <f t="shared" si="5"/>
        <v>#DIV/0!</v>
      </c>
    </row>
    <row r="29" spans="2:31" x14ac:dyDescent="0.2">
      <c r="B29" s="11" t="s">
        <v>452</v>
      </c>
      <c r="C29" s="11" t="s">
        <v>453</v>
      </c>
      <c r="D29" s="124">
        <f>SUMIF('（計算用1）'!$Q$145:$Q$152,'（計算用2）'!C29,'（計算用1）'!$R$145:$R$152)/1000</f>
        <v>0</v>
      </c>
      <c r="E29" s="124">
        <f>SUMIF('（計算用1）'!$M$188:$M$196,'（計算用2）'!C29,'（計算用1）'!$N$188:$N$196)/1000</f>
        <v>0</v>
      </c>
      <c r="F29" s="124">
        <f t="shared" si="6"/>
        <v>0</v>
      </c>
      <c r="G29" s="125">
        <v>0</v>
      </c>
      <c r="H29" s="125">
        <v>0</v>
      </c>
      <c r="I29" s="124">
        <f t="shared" si="7"/>
        <v>0</v>
      </c>
      <c r="J29" s="124">
        <f t="shared" si="0"/>
        <v>0</v>
      </c>
      <c r="K29" s="124">
        <f t="shared" si="8"/>
        <v>0</v>
      </c>
      <c r="L29" s="124">
        <f t="shared" si="1"/>
        <v>0</v>
      </c>
      <c r="M29" s="123">
        <f>D29-SUM(I29:J29)</f>
        <v>0</v>
      </c>
      <c r="N29" s="123">
        <f t="shared" si="10"/>
        <v>0</v>
      </c>
      <c r="O29" s="124">
        <f t="shared" si="11"/>
        <v>0</v>
      </c>
      <c r="P29" s="126">
        <f>'（取引基本表）'!BH27</f>
        <v>0.9999374716221292</v>
      </c>
      <c r="Q29" s="123">
        <f t="shared" si="12"/>
        <v>0</v>
      </c>
      <c r="R29" s="123">
        <f t="shared" si="13"/>
        <v>0</v>
      </c>
      <c r="S29" s="123">
        <f t="shared" si="14"/>
        <v>0</v>
      </c>
      <c r="T29" s="124">
        <v>0</v>
      </c>
      <c r="U29" s="124" t="e">
        <v>#DIV/0!</v>
      </c>
      <c r="V29" s="123" t="e">
        <f t="shared" si="2"/>
        <v>#DIV/0!</v>
      </c>
      <c r="W29" s="123">
        <f t="shared" si="15"/>
        <v>0</v>
      </c>
      <c r="X29" s="123" t="e">
        <f t="shared" si="16"/>
        <v>#DIV/0!</v>
      </c>
      <c r="Y29" s="123" t="e">
        <f t="shared" si="3"/>
        <v>#DIV/0!</v>
      </c>
      <c r="Z29" s="138">
        <v>0.48025920138393058</v>
      </c>
      <c r="AA29" s="123">
        <f t="shared" si="17"/>
        <v>0</v>
      </c>
      <c r="AB29" s="123" t="e">
        <f>'（取引基本表）'!AP27/SUM('（取引基本表）'!$AP$4:$AP$40)*$AH$49</f>
        <v>#DIV/0!</v>
      </c>
      <c r="AC29" s="124" t="e">
        <f t="shared" si="4"/>
        <v>#DIV/0!</v>
      </c>
      <c r="AD29" s="124" t="e">
        <v>#DIV/0!</v>
      </c>
      <c r="AE29" s="124" t="e">
        <f t="shared" si="5"/>
        <v>#DIV/0!</v>
      </c>
    </row>
    <row r="30" spans="2:31" x14ac:dyDescent="0.2">
      <c r="B30" s="11" t="s">
        <v>454</v>
      </c>
      <c r="C30" s="11" t="s">
        <v>395</v>
      </c>
      <c r="D30" s="124">
        <f>SUMIF('（計算用1）'!$Q$145:$Q$152,'（計算用2）'!C30,'（計算用1）'!$R$145:$R$152)/1000</f>
        <v>0</v>
      </c>
      <c r="E30" s="124">
        <f>SUMIF('（計算用1）'!$M$188:$M$196,'（計算用2）'!C30,'（計算用1）'!$N$188:$N$196)/1000</f>
        <v>0</v>
      </c>
      <c r="F30" s="124">
        <f t="shared" si="6"/>
        <v>0</v>
      </c>
      <c r="G30" s="125">
        <v>0</v>
      </c>
      <c r="H30" s="125">
        <v>0</v>
      </c>
      <c r="I30" s="124">
        <f t="shared" si="7"/>
        <v>0</v>
      </c>
      <c r="J30" s="124">
        <f t="shared" si="0"/>
        <v>0</v>
      </c>
      <c r="K30" s="124">
        <f t="shared" si="8"/>
        <v>0</v>
      </c>
      <c r="L30" s="124">
        <f t="shared" si="1"/>
        <v>0</v>
      </c>
      <c r="M30" s="127">
        <f>D30-SUM(I30:J30)+I43</f>
        <v>0</v>
      </c>
      <c r="N30" s="127" t="e">
        <f>E30-SUM(K30:L30)+K43</f>
        <v>#DIV/0!</v>
      </c>
      <c r="O30" s="124" t="e">
        <f t="shared" si="11"/>
        <v>#DIV/0!</v>
      </c>
      <c r="P30" s="126">
        <f>'（取引基本表）'!BH28</f>
        <v>0.99789429276333319</v>
      </c>
      <c r="Q30" s="123">
        <f>M30*$P30</f>
        <v>0</v>
      </c>
      <c r="R30" s="123" t="e">
        <f>N30*$P30</f>
        <v>#DIV/0!</v>
      </c>
      <c r="S30" s="123" t="e">
        <f t="shared" si="14"/>
        <v>#DIV/0!</v>
      </c>
      <c r="T30" s="124">
        <v>0</v>
      </c>
      <c r="U30" s="124" t="e">
        <v>#DIV/0!</v>
      </c>
      <c r="V30" s="123" t="e">
        <f t="shared" si="2"/>
        <v>#DIV/0!</v>
      </c>
      <c r="W30" s="123">
        <f t="shared" si="15"/>
        <v>0</v>
      </c>
      <c r="X30" s="123" t="e">
        <f t="shared" si="16"/>
        <v>#DIV/0!</v>
      </c>
      <c r="Y30" s="123" t="e">
        <f t="shared" si="3"/>
        <v>#DIV/0!</v>
      </c>
      <c r="Z30" s="138">
        <v>0.38980714489102569</v>
      </c>
      <c r="AA30" s="123" t="e">
        <f t="shared" si="17"/>
        <v>#DIV/0!</v>
      </c>
      <c r="AB30" s="123" t="e">
        <f>'（取引基本表）'!AP28/SUM('（取引基本表）'!$AP$4:$AP$40)*$AH$49</f>
        <v>#DIV/0!</v>
      </c>
      <c r="AC30" s="124" t="e">
        <f t="shared" si="4"/>
        <v>#DIV/0!</v>
      </c>
      <c r="AD30" s="124" t="e">
        <v>#DIV/0!</v>
      </c>
      <c r="AE30" s="124" t="e">
        <f t="shared" si="5"/>
        <v>#DIV/0!</v>
      </c>
    </row>
    <row r="31" spans="2:31" x14ac:dyDescent="0.2">
      <c r="B31" s="11" t="s">
        <v>455</v>
      </c>
      <c r="C31" s="11" t="s">
        <v>383</v>
      </c>
      <c r="D31" s="124">
        <f>SUMIF('（計算用1）'!$Q$145:$Q$152,'（計算用2）'!C31,'（計算用1）'!$R$145:$R$152)/1000</f>
        <v>0</v>
      </c>
      <c r="E31" s="124">
        <f>SUMIF('（計算用1）'!$M$188:$M$196,'（計算用2）'!C31,'（計算用1）'!$N$188:$N$196)/1000</f>
        <v>0</v>
      </c>
      <c r="F31" s="124">
        <f t="shared" si="6"/>
        <v>0</v>
      </c>
      <c r="G31" s="125">
        <v>0</v>
      </c>
      <c r="H31" s="125">
        <v>0</v>
      </c>
      <c r="I31" s="124">
        <f t="shared" si="7"/>
        <v>0</v>
      </c>
      <c r="J31" s="124">
        <f t="shared" si="0"/>
        <v>0</v>
      </c>
      <c r="K31" s="124">
        <f t="shared" si="8"/>
        <v>0</v>
      </c>
      <c r="L31" s="124">
        <f t="shared" si="1"/>
        <v>0</v>
      </c>
      <c r="M31" s="123">
        <f>D31-SUM(I31:J31)</f>
        <v>0</v>
      </c>
      <c r="N31" s="123">
        <f>E31-SUM(K31:L31)</f>
        <v>0</v>
      </c>
      <c r="O31" s="124">
        <f t="shared" si="11"/>
        <v>0</v>
      </c>
      <c r="P31" s="126">
        <f>'（取引基本表）'!BH29</f>
        <v>0.9601340033787148</v>
      </c>
      <c r="Q31" s="123">
        <f t="shared" si="12"/>
        <v>0</v>
      </c>
      <c r="R31" s="123">
        <f t="shared" si="13"/>
        <v>0</v>
      </c>
      <c r="S31" s="123">
        <f t="shared" si="14"/>
        <v>0</v>
      </c>
      <c r="T31" s="124">
        <v>0</v>
      </c>
      <c r="U31" s="124" t="e">
        <v>#DIV/0!</v>
      </c>
      <c r="V31" s="123" t="e">
        <f t="shared" si="2"/>
        <v>#DIV/0!</v>
      </c>
      <c r="W31" s="123">
        <f t="shared" si="15"/>
        <v>0</v>
      </c>
      <c r="X31" s="123" t="e">
        <f t="shared" si="16"/>
        <v>#DIV/0!</v>
      </c>
      <c r="Y31" s="123" t="e">
        <f t="shared" si="3"/>
        <v>#DIV/0!</v>
      </c>
      <c r="Z31" s="138">
        <v>0.31206138846335435</v>
      </c>
      <c r="AA31" s="123">
        <f t="shared" si="17"/>
        <v>0</v>
      </c>
      <c r="AB31" s="123" t="e">
        <f>'（取引基本表）'!AP29/SUM('（取引基本表）'!$AP$4:$AP$40)*$AH$49</f>
        <v>#DIV/0!</v>
      </c>
      <c r="AC31" s="124" t="e">
        <f t="shared" si="4"/>
        <v>#DIV/0!</v>
      </c>
      <c r="AD31" s="124" t="e">
        <v>#DIV/0!</v>
      </c>
      <c r="AE31" s="124" t="e">
        <f t="shared" si="5"/>
        <v>#DIV/0!</v>
      </c>
    </row>
    <row r="32" spans="2:31" x14ac:dyDescent="0.2">
      <c r="B32" s="11" t="s">
        <v>456</v>
      </c>
      <c r="C32" s="11" t="s">
        <v>457</v>
      </c>
      <c r="D32" s="124">
        <f>SUMIF('（計算用1）'!$Q$145:$Q$152,'（計算用2）'!C32,'（計算用1）'!$R$145:$R$152)/1000</f>
        <v>0</v>
      </c>
      <c r="E32" s="124">
        <f>SUMIF('（計算用1）'!$M$188:$M$196,'（計算用2）'!C32,'（計算用1）'!$N$188:$N$196)/1000</f>
        <v>0</v>
      </c>
      <c r="F32" s="124">
        <f t="shared" si="6"/>
        <v>0</v>
      </c>
      <c r="G32" s="125">
        <v>0</v>
      </c>
      <c r="H32" s="125">
        <v>0</v>
      </c>
      <c r="I32" s="124">
        <f t="shared" si="7"/>
        <v>0</v>
      </c>
      <c r="J32" s="124">
        <f t="shared" si="0"/>
        <v>0</v>
      </c>
      <c r="K32" s="124">
        <f t="shared" si="8"/>
        <v>0</v>
      </c>
      <c r="L32" s="124">
        <f t="shared" si="1"/>
        <v>0</v>
      </c>
      <c r="M32" s="123">
        <f>D32-SUM(I32:J32)</f>
        <v>0</v>
      </c>
      <c r="N32" s="123">
        <f>E32-SUM(K32:L32)</f>
        <v>0</v>
      </c>
      <c r="O32" s="124">
        <f t="shared" si="11"/>
        <v>0</v>
      </c>
      <c r="P32" s="126">
        <f>'（取引基本表）'!BH30</f>
        <v>0.99997784908573439</v>
      </c>
      <c r="Q32" s="123">
        <f t="shared" si="12"/>
        <v>0</v>
      </c>
      <c r="R32" s="123">
        <f t="shared" si="13"/>
        <v>0</v>
      </c>
      <c r="S32" s="123">
        <f t="shared" si="14"/>
        <v>0</v>
      </c>
      <c r="T32" s="124">
        <v>0</v>
      </c>
      <c r="U32" s="124" t="e">
        <v>#DIV/0!</v>
      </c>
      <c r="V32" s="123" t="e">
        <f t="shared" si="2"/>
        <v>#DIV/0!</v>
      </c>
      <c r="W32" s="123">
        <f t="shared" si="15"/>
        <v>0</v>
      </c>
      <c r="X32" s="123" t="e">
        <f t="shared" si="16"/>
        <v>#DIV/0!</v>
      </c>
      <c r="Y32" s="123" t="e">
        <f t="shared" si="3"/>
        <v>#DIV/0!</v>
      </c>
      <c r="Z32" s="138">
        <v>5.7877430332555269E-2</v>
      </c>
      <c r="AA32" s="123">
        <f t="shared" si="17"/>
        <v>0</v>
      </c>
      <c r="AB32" s="123" t="e">
        <f>'（取引基本表）'!AP30/SUM('（取引基本表）'!$AP$4:$AP$40)*$AH$49</f>
        <v>#DIV/0!</v>
      </c>
      <c r="AC32" s="124" t="e">
        <f t="shared" si="4"/>
        <v>#DIV/0!</v>
      </c>
      <c r="AD32" s="124" t="e">
        <v>#DIV/0!</v>
      </c>
      <c r="AE32" s="124" t="e">
        <f t="shared" si="5"/>
        <v>#DIV/0!</v>
      </c>
    </row>
    <row r="33" spans="1:34" x14ac:dyDescent="0.2">
      <c r="B33" s="11" t="s">
        <v>458</v>
      </c>
      <c r="C33" s="11" t="s">
        <v>384</v>
      </c>
      <c r="D33" s="124">
        <f>SUMIF('（計算用1）'!$Q$145:$Q$152,'（計算用2）'!C33,'（計算用1）'!$R$145:$R$152)/1000</f>
        <v>0</v>
      </c>
      <c r="E33" s="124" t="e">
        <f>SUMIF('（計算用1）'!$M$188:$M$196,'（計算用2）'!C33,'（計算用1）'!$N$188:$N$196)/1000</f>
        <v>#DIV/0!</v>
      </c>
      <c r="F33" s="124" t="e">
        <f t="shared" si="6"/>
        <v>#DIV/0!</v>
      </c>
      <c r="G33" s="125">
        <v>0</v>
      </c>
      <c r="H33" s="125">
        <v>0</v>
      </c>
      <c r="I33" s="124">
        <f t="shared" si="7"/>
        <v>0</v>
      </c>
      <c r="J33" s="124">
        <f t="shared" si="0"/>
        <v>0</v>
      </c>
      <c r="K33" s="124" t="e">
        <f t="shared" si="8"/>
        <v>#DIV/0!</v>
      </c>
      <c r="L33" s="124" t="e">
        <f t="shared" si="1"/>
        <v>#DIV/0!</v>
      </c>
      <c r="M33" s="127">
        <f>D33-SUM(I33:J33)+J43</f>
        <v>0</v>
      </c>
      <c r="N33" s="127" t="e">
        <f>E33-SUM(K33:L33)+L43</f>
        <v>#DIV/0!</v>
      </c>
      <c r="O33" s="124" t="e">
        <f t="shared" si="11"/>
        <v>#DIV/0!</v>
      </c>
      <c r="P33" s="126">
        <f>'（取引基本表）'!BH31</f>
        <v>0.9296624026605611</v>
      </c>
      <c r="Q33" s="123">
        <f t="shared" si="12"/>
        <v>0</v>
      </c>
      <c r="R33" s="123" t="e">
        <f t="shared" si="13"/>
        <v>#DIV/0!</v>
      </c>
      <c r="S33" s="123" t="e">
        <f t="shared" si="14"/>
        <v>#DIV/0!</v>
      </c>
      <c r="T33" s="124">
        <v>0</v>
      </c>
      <c r="U33" s="124" t="e">
        <v>#DIV/0!</v>
      </c>
      <c r="V33" s="123" t="e">
        <f t="shared" si="2"/>
        <v>#DIV/0!</v>
      </c>
      <c r="W33" s="123">
        <f t="shared" si="15"/>
        <v>0</v>
      </c>
      <c r="X33" s="123" t="e">
        <f t="shared" si="16"/>
        <v>#DIV/0!</v>
      </c>
      <c r="Y33" s="123" t="e">
        <f t="shared" si="3"/>
        <v>#DIV/0!</v>
      </c>
      <c r="Z33" s="138">
        <v>0.28331021426185604</v>
      </c>
      <c r="AA33" s="123" t="e">
        <f t="shared" si="17"/>
        <v>#DIV/0!</v>
      </c>
      <c r="AB33" s="123" t="e">
        <f>'（取引基本表）'!AP31/SUM('（取引基本表）'!$AP$4:$AP$40)*$AH$49</f>
        <v>#DIV/0!</v>
      </c>
      <c r="AC33" s="124" t="e">
        <f t="shared" si="4"/>
        <v>#DIV/0!</v>
      </c>
      <c r="AD33" s="124" t="e">
        <v>#DIV/0!</v>
      </c>
      <c r="AE33" s="124" t="e">
        <f t="shared" si="5"/>
        <v>#DIV/0!</v>
      </c>
    </row>
    <row r="34" spans="1:34" x14ac:dyDescent="0.2">
      <c r="B34" s="11" t="s">
        <v>459</v>
      </c>
      <c r="C34" s="11" t="s">
        <v>380</v>
      </c>
      <c r="D34" s="124">
        <f>SUMIF('（計算用1）'!$Q$145:$Q$152,'（計算用2）'!C34,'（計算用1）'!$R$145:$R$152)/1000</f>
        <v>0</v>
      </c>
      <c r="E34" s="124">
        <f>SUMIF('（計算用1）'!$M$188:$M$196,'（計算用2）'!C34,'（計算用1）'!$N$188:$N$196)/1000</f>
        <v>0</v>
      </c>
      <c r="F34" s="124">
        <f t="shared" si="6"/>
        <v>0</v>
      </c>
      <c r="G34" s="125">
        <v>8.4830000000000003E-2</v>
      </c>
      <c r="H34" s="125">
        <v>5.8599999999999998E-3</v>
      </c>
      <c r="I34" s="124">
        <f t="shared" si="7"/>
        <v>0</v>
      </c>
      <c r="J34" s="124">
        <f t="shared" si="0"/>
        <v>0</v>
      </c>
      <c r="K34" s="124">
        <f t="shared" si="8"/>
        <v>0</v>
      </c>
      <c r="L34" s="124">
        <f t="shared" si="1"/>
        <v>0</v>
      </c>
      <c r="M34" s="123">
        <f t="shared" ref="M34:M42" si="18">D34-SUM(I34:J34)</f>
        <v>0</v>
      </c>
      <c r="N34" s="123">
        <f t="shared" ref="N34:N42" si="19">E34-SUM(K34:L34)</f>
        <v>0</v>
      </c>
      <c r="O34" s="124">
        <f t="shared" si="11"/>
        <v>0</v>
      </c>
      <c r="P34" s="126">
        <f>'（取引基本表）'!BH32</f>
        <v>0.95494801984179889</v>
      </c>
      <c r="Q34" s="123">
        <f t="shared" si="12"/>
        <v>0</v>
      </c>
      <c r="R34" s="123">
        <f t="shared" si="13"/>
        <v>0</v>
      </c>
      <c r="S34" s="123">
        <f t="shared" si="14"/>
        <v>0</v>
      </c>
      <c r="T34" s="124">
        <v>0</v>
      </c>
      <c r="U34" s="124" t="e">
        <v>#DIV/0!</v>
      </c>
      <c r="V34" s="123" t="e">
        <f t="shared" si="2"/>
        <v>#DIV/0!</v>
      </c>
      <c r="W34" s="123">
        <f t="shared" si="15"/>
        <v>0</v>
      </c>
      <c r="X34" s="123" t="e">
        <f t="shared" si="16"/>
        <v>#DIV/0!</v>
      </c>
      <c r="Y34" s="123" t="e">
        <f t="shared" si="3"/>
        <v>#DIV/0!</v>
      </c>
      <c r="Z34" s="138">
        <v>0.21011199089071628</v>
      </c>
      <c r="AA34" s="123">
        <f t="shared" si="17"/>
        <v>0</v>
      </c>
      <c r="AB34" s="123" t="e">
        <f>'（取引基本表）'!AP32/SUM('（取引基本表）'!$AP$4:$AP$40)*$AH$49</f>
        <v>#DIV/0!</v>
      </c>
      <c r="AC34" s="124" t="e">
        <f t="shared" si="4"/>
        <v>#DIV/0!</v>
      </c>
      <c r="AD34" s="124" t="e">
        <v>#DIV/0!</v>
      </c>
      <c r="AE34" s="124" t="e">
        <f t="shared" si="5"/>
        <v>#DIV/0!</v>
      </c>
    </row>
    <row r="35" spans="1:34" x14ac:dyDescent="0.2">
      <c r="B35" s="11" t="s">
        <v>460</v>
      </c>
      <c r="C35" s="11" t="s">
        <v>461</v>
      </c>
      <c r="D35" s="124">
        <f>SUMIF('（計算用1）'!$Q$145:$Q$152,'（計算用2）'!C35,'（計算用1）'!$R$145:$R$152)/1000</f>
        <v>0</v>
      </c>
      <c r="E35" s="124">
        <f>SUMIF('（計算用1）'!$M$188:$M$196,'（計算用2）'!C35,'（計算用1）'!$N$188:$N$196)/1000</f>
        <v>0</v>
      </c>
      <c r="F35" s="124">
        <f t="shared" si="6"/>
        <v>0</v>
      </c>
      <c r="G35" s="125">
        <v>0</v>
      </c>
      <c r="H35" s="125">
        <v>0</v>
      </c>
      <c r="I35" s="124">
        <f t="shared" si="7"/>
        <v>0</v>
      </c>
      <c r="J35" s="124">
        <f t="shared" si="0"/>
        <v>0</v>
      </c>
      <c r="K35" s="124">
        <f t="shared" si="8"/>
        <v>0</v>
      </c>
      <c r="L35" s="124">
        <f t="shared" si="1"/>
        <v>0</v>
      </c>
      <c r="M35" s="123">
        <f t="shared" si="18"/>
        <v>0</v>
      </c>
      <c r="N35" s="123">
        <f t="shared" si="19"/>
        <v>0</v>
      </c>
      <c r="O35" s="124">
        <f t="shared" si="11"/>
        <v>0</v>
      </c>
      <c r="P35" s="126">
        <f>'（取引基本表）'!BH33</f>
        <v>1</v>
      </c>
      <c r="Q35" s="123">
        <f t="shared" si="12"/>
        <v>0</v>
      </c>
      <c r="R35" s="123">
        <f t="shared" si="13"/>
        <v>0</v>
      </c>
      <c r="S35" s="123">
        <f t="shared" si="14"/>
        <v>0</v>
      </c>
      <c r="T35" s="124">
        <v>0</v>
      </c>
      <c r="U35" s="124" t="e">
        <v>#DIV/0!</v>
      </c>
      <c r="V35" s="123" t="e">
        <f t="shared" si="2"/>
        <v>#DIV/0!</v>
      </c>
      <c r="W35" s="123">
        <f t="shared" si="15"/>
        <v>0</v>
      </c>
      <c r="X35" s="123" t="e">
        <f t="shared" si="16"/>
        <v>#DIV/0!</v>
      </c>
      <c r="Y35" s="123" t="e">
        <f t="shared" si="3"/>
        <v>#DIV/0!</v>
      </c>
      <c r="Z35" s="138">
        <v>0.3604440067555742</v>
      </c>
      <c r="AA35" s="123">
        <f t="shared" si="17"/>
        <v>0</v>
      </c>
      <c r="AB35" s="123" t="e">
        <f>'（取引基本表）'!AP33/SUM('（取引基本表）'!$AP$4:$AP$40)*$AH$49</f>
        <v>#DIV/0!</v>
      </c>
      <c r="AC35" s="124" t="e">
        <f t="shared" si="4"/>
        <v>#DIV/0!</v>
      </c>
      <c r="AD35" s="124" t="e">
        <v>#DIV/0!</v>
      </c>
      <c r="AE35" s="124" t="e">
        <f t="shared" si="5"/>
        <v>#DIV/0!</v>
      </c>
    </row>
    <row r="36" spans="1:34" x14ac:dyDescent="0.2">
      <c r="B36" s="11" t="s">
        <v>462</v>
      </c>
      <c r="C36" s="11" t="s">
        <v>463</v>
      </c>
      <c r="D36" s="124">
        <f>SUMIF('（計算用1）'!$Q$145:$Q$152,'（計算用2）'!C36,'（計算用1）'!$R$145:$R$152)/1000</f>
        <v>0</v>
      </c>
      <c r="E36" s="124">
        <f>SUMIF('（計算用1）'!$M$188:$M$196,'（計算用2）'!C36,'（計算用1）'!$N$188:$N$196)/1000</f>
        <v>0</v>
      </c>
      <c r="F36" s="124">
        <f t="shared" si="6"/>
        <v>0</v>
      </c>
      <c r="G36" s="125">
        <v>0</v>
      </c>
      <c r="H36" s="125">
        <v>0</v>
      </c>
      <c r="I36" s="124">
        <f t="shared" si="7"/>
        <v>0</v>
      </c>
      <c r="J36" s="124">
        <f t="shared" si="0"/>
        <v>0</v>
      </c>
      <c r="K36" s="124">
        <f t="shared" si="8"/>
        <v>0</v>
      </c>
      <c r="L36" s="124">
        <f t="shared" si="1"/>
        <v>0</v>
      </c>
      <c r="M36" s="123">
        <f t="shared" si="18"/>
        <v>0</v>
      </c>
      <c r="N36" s="123">
        <f t="shared" si="19"/>
        <v>0</v>
      </c>
      <c r="O36" s="124">
        <f t="shared" si="11"/>
        <v>0</v>
      </c>
      <c r="P36" s="126">
        <f>'（取引基本表）'!BH34</f>
        <v>0.95449542315169433</v>
      </c>
      <c r="Q36" s="123">
        <f t="shared" si="12"/>
        <v>0</v>
      </c>
      <c r="R36" s="123">
        <f t="shared" si="13"/>
        <v>0</v>
      </c>
      <c r="S36" s="123">
        <f t="shared" si="14"/>
        <v>0</v>
      </c>
      <c r="T36" s="124">
        <v>0</v>
      </c>
      <c r="U36" s="124" t="e">
        <v>#DIV/0!</v>
      </c>
      <c r="V36" s="123" t="e">
        <f t="shared" si="2"/>
        <v>#DIV/0!</v>
      </c>
      <c r="W36" s="123">
        <f t="shared" si="15"/>
        <v>0</v>
      </c>
      <c r="X36" s="123" t="e">
        <f t="shared" si="16"/>
        <v>#DIV/0!</v>
      </c>
      <c r="Y36" s="123" t="e">
        <f t="shared" si="3"/>
        <v>#DIV/0!</v>
      </c>
      <c r="Z36" s="138">
        <v>0.50809225825501958</v>
      </c>
      <c r="AA36" s="123">
        <f t="shared" si="17"/>
        <v>0</v>
      </c>
      <c r="AB36" s="123" t="e">
        <f>'（取引基本表）'!AP34/SUM('（取引基本表）'!$AP$4:$AP$40)*$AH$49</f>
        <v>#DIV/0!</v>
      </c>
      <c r="AC36" s="124" t="e">
        <f t="shared" si="4"/>
        <v>#DIV/0!</v>
      </c>
      <c r="AD36" s="124" t="e">
        <v>#DIV/0!</v>
      </c>
      <c r="AE36" s="124" t="e">
        <f t="shared" si="5"/>
        <v>#DIV/0!</v>
      </c>
    </row>
    <row r="37" spans="1:34" x14ac:dyDescent="0.2">
      <c r="B37" s="11" t="s">
        <v>464</v>
      </c>
      <c r="C37" s="11" t="s">
        <v>465</v>
      </c>
      <c r="D37" s="124">
        <f>SUMIF('（計算用1）'!$Q$145:$Q$152,'（計算用2）'!C37,'（計算用1）'!$R$145:$R$152)/1000</f>
        <v>0</v>
      </c>
      <c r="E37" s="124">
        <f>SUMIF('（計算用1）'!$M$188:$M$196,'（計算用2）'!C37,'（計算用1）'!$N$188:$N$196)/1000</f>
        <v>0</v>
      </c>
      <c r="F37" s="124">
        <f t="shared" si="6"/>
        <v>0</v>
      </c>
      <c r="G37" s="125">
        <v>0</v>
      </c>
      <c r="H37" s="125">
        <v>0</v>
      </c>
      <c r="I37" s="124">
        <f t="shared" si="7"/>
        <v>0</v>
      </c>
      <c r="J37" s="124">
        <f t="shared" si="0"/>
        <v>0</v>
      </c>
      <c r="K37" s="124">
        <f t="shared" si="8"/>
        <v>0</v>
      </c>
      <c r="L37" s="124">
        <f t="shared" si="1"/>
        <v>0</v>
      </c>
      <c r="M37" s="123">
        <f t="shared" si="18"/>
        <v>0</v>
      </c>
      <c r="N37" s="123">
        <f t="shared" si="19"/>
        <v>0</v>
      </c>
      <c r="O37" s="124">
        <f t="shared" si="11"/>
        <v>0</v>
      </c>
      <c r="P37" s="126">
        <f>'（取引基本表）'!BH35</f>
        <v>0.99994719643472219</v>
      </c>
      <c r="Q37" s="123">
        <f t="shared" si="12"/>
        <v>0</v>
      </c>
      <c r="R37" s="123">
        <f t="shared" si="13"/>
        <v>0</v>
      </c>
      <c r="S37" s="123">
        <f t="shared" si="14"/>
        <v>0</v>
      </c>
      <c r="T37" s="124">
        <v>0</v>
      </c>
      <c r="U37" s="124" t="e">
        <v>#DIV/0!</v>
      </c>
      <c r="V37" s="123" t="e">
        <f t="shared" si="2"/>
        <v>#DIV/0!</v>
      </c>
      <c r="W37" s="123">
        <f t="shared" si="15"/>
        <v>0</v>
      </c>
      <c r="X37" s="123" t="e">
        <f t="shared" si="16"/>
        <v>#DIV/0!</v>
      </c>
      <c r="Y37" s="123" t="e">
        <f t="shared" si="3"/>
        <v>#DIV/0!</v>
      </c>
      <c r="Z37" s="138">
        <v>0.50572540009843636</v>
      </c>
      <c r="AA37" s="123">
        <f t="shared" si="17"/>
        <v>0</v>
      </c>
      <c r="AB37" s="123" t="e">
        <f>'（取引基本表）'!AP35/SUM('（取引基本表）'!$AP$4:$AP$40)*$AH$49</f>
        <v>#DIV/0!</v>
      </c>
      <c r="AC37" s="124" t="e">
        <f t="shared" si="4"/>
        <v>#DIV/0!</v>
      </c>
      <c r="AD37" s="124" t="e">
        <v>#DIV/0!</v>
      </c>
      <c r="AE37" s="124" t="e">
        <f t="shared" si="5"/>
        <v>#DIV/0!</v>
      </c>
    </row>
    <row r="38" spans="1:34" x14ac:dyDescent="0.2">
      <c r="B38" s="11" t="s">
        <v>466</v>
      </c>
      <c r="C38" s="11" t="s">
        <v>467</v>
      </c>
      <c r="D38" s="124">
        <f>SUMIF('（計算用1）'!$Q$145:$Q$152,'（計算用2）'!C38,'（計算用1）'!$R$145:$R$152)/1000</f>
        <v>0</v>
      </c>
      <c r="E38" s="124">
        <f>SUMIF('（計算用1）'!$M$188:$M$196,'（計算用2）'!C38,'（計算用1）'!$N$188:$N$196)/1000</f>
        <v>0</v>
      </c>
      <c r="F38" s="124">
        <f t="shared" si="6"/>
        <v>0</v>
      </c>
      <c r="G38" s="125">
        <v>0</v>
      </c>
      <c r="H38" s="125">
        <v>0</v>
      </c>
      <c r="I38" s="124">
        <f t="shared" si="7"/>
        <v>0</v>
      </c>
      <c r="J38" s="124">
        <f t="shared" si="0"/>
        <v>0</v>
      </c>
      <c r="K38" s="124">
        <f t="shared" si="8"/>
        <v>0</v>
      </c>
      <c r="L38" s="124">
        <f t="shared" si="1"/>
        <v>0</v>
      </c>
      <c r="M38" s="123">
        <f t="shared" si="18"/>
        <v>0</v>
      </c>
      <c r="N38" s="123">
        <f t="shared" si="19"/>
        <v>0</v>
      </c>
      <c r="O38" s="124">
        <f t="shared" si="11"/>
        <v>0</v>
      </c>
      <c r="P38" s="126">
        <f>'（取引基本表）'!BH36</f>
        <v>0.97164020107120419</v>
      </c>
      <c r="Q38" s="123">
        <f t="shared" si="12"/>
        <v>0</v>
      </c>
      <c r="R38" s="123">
        <f t="shared" si="13"/>
        <v>0</v>
      </c>
      <c r="S38" s="123">
        <f t="shared" si="14"/>
        <v>0</v>
      </c>
      <c r="T38" s="124">
        <v>0</v>
      </c>
      <c r="U38" s="124" t="e">
        <v>#DIV/0!</v>
      </c>
      <c r="V38" s="123" t="e">
        <f t="shared" si="2"/>
        <v>#DIV/0!</v>
      </c>
      <c r="W38" s="123">
        <f t="shared" si="15"/>
        <v>0</v>
      </c>
      <c r="X38" s="123" t="e">
        <f t="shared" si="16"/>
        <v>#DIV/0!</v>
      </c>
      <c r="Y38" s="123" t="e">
        <f t="shared" si="3"/>
        <v>#DIV/0!</v>
      </c>
      <c r="Z38" s="138">
        <v>0.4967028017779711</v>
      </c>
      <c r="AA38" s="123">
        <f t="shared" si="17"/>
        <v>0</v>
      </c>
      <c r="AB38" s="123" t="e">
        <f>'（取引基本表）'!AP36/SUM('（取引基本表）'!$AP$4:$AP$40)*$AH$49</f>
        <v>#DIV/0!</v>
      </c>
      <c r="AC38" s="124" t="e">
        <f t="shared" si="4"/>
        <v>#DIV/0!</v>
      </c>
      <c r="AD38" s="124" t="e">
        <v>#DIV/0!</v>
      </c>
      <c r="AE38" s="124" t="e">
        <f t="shared" si="5"/>
        <v>#DIV/0!</v>
      </c>
    </row>
    <row r="39" spans="1:34" x14ac:dyDescent="0.2">
      <c r="B39" s="11" t="s">
        <v>468</v>
      </c>
      <c r="C39" s="11" t="s">
        <v>385</v>
      </c>
      <c r="D39" s="124">
        <f>SUMIF('（計算用1）'!$Q$145:$Q$152,'（計算用2）'!C39,'（計算用1）'!$R$145:$R$152)/1000</f>
        <v>0</v>
      </c>
      <c r="E39" s="124">
        <f>SUMIF('（計算用1）'!$M$188:$M$196,'（計算用2）'!C39,'（計算用1）'!$N$188:$N$196)/1000</f>
        <v>0</v>
      </c>
      <c r="F39" s="124">
        <f t="shared" si="6"/>
        <v>0</v>
      </c>
      <c r="G39" s="125">
        <v>0</v>
      </c>
      <c r="H39" s="125">
        <v>0</v>
      </c>
      <c r="I39" s="124">
        <f t="shared" si="7"/>
        <v>0</v>
      </c>
      <c r="J39" s="124">
        <f t="shared" si="0"/>
        <v>0</v>
      </c>
      <c r="K39" s="124">
        <f t="shared" si="8"/>
        <v>0</v>
      </c>
      <c r="L39" s="124">
        <f t="shared" si="1"/>
        <v>0</v>
      </c>
      <c r="M39" s="123">
        <f t="shared" si="18"/>
        <v>0</v>
      </c>
      <c r="N39" s="123">
        <f t="shared" si="19"/>
        <v>0</v>
      </c>
      <c r="O39" s="124">
        <f t="shared" si="11"/>
        <v>0</v>
      </c>
      <c r="P39" s="126">
        <f>'（取引基本表）'!BH37</f>
        <v>0.94985501568535535</v>
      </c>
      <c r="Q39" s="123">
        <f t="shared" si="12"/>
        <v>0</v>
      </c>
      <c r="R39" s="123">
        <f t="shared" si="13"/>
        <v>0</v>
      </c>
      <c r="S39" s="123">
        <f t="shared" si="14"/>
        <v>0</v>
      </c>
      <c r="T39" s="124">
        <v>0</v>
      </c>
      <c r="U39" s="124" t="e">
        <v>#DIV/0!</v>
      </c>
      <c r="V39" s="123" t="e">
        <f t="shared" si="2"/>
        <v>#DIV/0!</v>
      </c>
      <c r="W39" s="123">
        <f t="shared" si="15"/>
        <v>0</v>
      </c>
      <c r="X39" s="123" t="e">
        <f t="shared" si="16"/>
        <v>#DIV/0!</v>
      </c>
      <c r="Y39" s="123" t="e">
        <f t="shared" si="3"/>
        <v>#DIV/0!</v>
      </c>
      <c r="Z39" s="138">
        <v>0.34422469840158137</v>
      </c>
      <c r="AA39" s="123">
        <f t="shared" si="17"/>
        <v>0</v>
      </c>
      <c r="AB39" s="123" t="e">
        <f>'（取引基本表）'!AP37/SUM('（取引基本表）'!$AP$4:$AP$40)*$AH$49</f>
        <v>#DIV/0!</v>
      </c>
      <c r="AC39" s="124" t="e">
        <f t="shared" si="4"/>
        <v>#DIV/0!</v>
      </c>
      <c r="AD39" s="124" t="e">
        <v>#DIV/0!</v>
      </c>
      <c r="AE39" s="124" t="e">
        <f t="shared" si="5"/>
        <v>#DIV/0!</v>
      </c>
    </row>
    <row r="40" spans="1:34" x14ac:dyDescent="0.2">
      <c r="B40" s="11" t="s">
        <v>469</v>
      </c>
      <c r="C40" s="11" t="s">
        <v>386</v>
      </c>
      <c r="D40" s="124">
        <f>SUMIF('（計算用1）'!$Q$145:$Q$152,'（計算用2）'!C40,'（計算用1）'!$R$145:$R$152)/1000</f>
        <v>0</v>
      </c>
      <c r="E40" s="124" t="e">
        <f>SUMIF('（計算用1）'!$M$188:$M$196,'（計算用2）'!C40,'（計算用1）'!$N$188:$N$196)/1000</f>
        <v>#DIV/0!</v>
      </c>
      <c r="F40" s="124" t="e">
        <f t="shared" si="6"/>
        <v>#DIV/0!</v>
      </c>
      <c r="G40" s="125">
        <v>0</v>
      </c>
      <c r="H40" s="125">
        <v>0</v>
      </c>
      <c r="I40" s="124">
        <f t="shared" si="7"/>
        <v>0</v>
      </c>
      <c r="J40" s="124">
        <f t="shared" si="0"/>
        <v>0</v>
      </c>
      <c r="K40" s="124" t="e">
        <f t="shared" si="8"/>
        <v>#DIV/0!</v>
      </c>
      <c r="L40" s="124" t="e">
        <f t="shared" si="1"/>
        <v>#DIV/0!</v>
      </c>
      <c r="M40" s="123">
        <f t="shared" si="18"/>
        <v>0</v>
      </c>
      <c r="N40" s="123" t="e">
        <f t="shared" si="19"/>
        <v>#DIV/0!</v>
      </c>
      <c r="O40" s="124" t="e">
        <f t="shared" si="11"/>
        <v>#DIV/0!</v>
      </c>
      <c r="P40" s="126">
        <f>'（取引基本表）'!BH38</f>
        <v>0.97664425919695574</v>
      </c>
      <c r="Q40" s="123">
        <f t="shared" si="12"/>
        <v>0</v>
      </c>
      <c r="R40" s="123" t="e">
        <f t="shared" si="13"/>
        <v>#DIV/0!</v>
      </c>
      <c r="S40" s="123" t="e">
        <f t="shared" si="14"/>
        <v>#DIV/0!</v>
      </c>
      <c r="T40" s="124">
        <v>0</v>
      </c>
      <c r="U40" s="124" t="e">
        <v>#DIV/0!</v>
      </c>
      <c r="V40" s="123" t="e">
        <f t="shared" si="2"/>
        <v>#DIV/0!</v>
      </c>
      <c r="W40" s="123">
        <f t="shared" si="15"/>
        <v>0</v>
      </c>
      <c r="X40" s="123" t="e">
        <f t="shared" si="16"/>
        <v>#DIV/0!</v>
      </c>
      <c r="Y40" s="123" t="e">
        <f t="shared" si="3"/>
        <v>#DIV/0!</v>
      </c>
      <c r="Z40" s="138">
        <v>0.26942710690412519</v>
      </c>
      <c r="AA40" s="123" t="e">
        <f t="shared" si="17"/>
        <v>#DIV/0!</v>
      </c>
      <c r="AB40" s="123" t="e">
        <f>'（取引基本表）'!AP38/SUM('（取引基本表）'!$AP$4:$AP$40)*$AH$49</f>
        <v>#DIV/0!</v>
      </c>
      <c r="AC40" s="124" t="e">
        <f t="shared" si="4"/>
        <v>#DIV/0!</v>
      </c>
      <c r="AD40" s="124" t="e">
        <v>#DIV/0!</v>
      </c>
      <c r="AE40" s="124" t="e">
        <f t="shared" si="5"/>
        <v>#DIV/0!</v>
      </c>
    </row>
    <row r="41" spans="1:34" x14ac:dyDescent="0.2">
      <c r="B41" s="11" t="s">
        <v>470</v>
      </c>
      <c r="C41" s="11" t="s">
        <v>471</v>
      </c>
      <c r="D41" s="124">
        <f>SUMIF('（計算用1）'!$Q$145:$Q$152,'（計算用2）'!C41,'（計算用1）'!$R$145:$R$152)/1000</f>
        <v>0</v>
      </c>
      <c r="E41" s="124">
        <f>SUMIF('（計算用1）'!$M$188:$M$196,'（計算用2）'!C41,'（計算用1）'!$N$188:$N$196)/1000</f>
        <v>0</v>
      </c>
      <c r="F41" s="124">
        <f t="shared" si="6"/>
        <v>0</v>
      </c>
      <c r="G41" s="125">
        <v>0</v>
      </c>
      <c r="H41" s="125">
        <v>0</v>
      </c>
      <c r="I41" s="124">
        <f t="shared" si="7"/>
        <v>0</v>
      </c>
      <c r="J41" s="124">
        <f t="shared" si="0"/>
        <v>0</v>
      </c>
      <c r="K41" s="124">
        <f t="shared" si="8"/>
        <v>0</v>
      </c>
      <c r="L41" s="124">
        <f t="shared" si="1"/>
        <v>0</v>
      </c>
      <c r="M41" s="123">
        <f t="shared" si="18"/>
        <v>0</v>
      </c>
      <c r="N41" s="123">
        <f t="shared" si="19"/>
        <v>0</v>
      </c>
      <c r="O41" s="124">
        <f t="shared" si="11"/>
        <v>0</v>
      </c>
      <c r="P41" s="126">
        <f>'（取引基本表）'!BH39</f>
        <v>1</v>
      </c>
      <c r="Q41" s="123">
        <f t="shared" si="12"/>
        <v>0</v>
      </c>
      <c r="R41" s="123">
        <f t="shared" si="13"/>
        <v>0</v>
      </c>
      <c r="S41" s="123">
        <f t="shared" si="14"/>
        <v>0</v>
      </c>
      <c r="T41" s="124">
        <v>0</v>
      </c>
      <c r="U41" s="124" t="e">
        <v>#DIV/0!</v>
      </c>
      <c r="V41" s="123" t="e">
        <f t="shared" si="2"/>
        <v>#DIV/0!</v>
      </c>
      <c r="W41" s="123">
        <f t="shared" si="15"/>
        <v>0</v>
      </c>
      <c r="X41" s="123" t="e">
        <f t="shared" si="16"/>
        <v>#DIV/0!</v>
      </c>
      <c r="Y41" s="123" t="e">
        <f t="shared" si="3"/>
        <v>#DIV/0!</v>
      </c>
      <c r="Z41" s="138">
        <v>0</v>
      </c>
      <c r="AA41" s="123">
        <f t="shared" si="17"/>
        <v>0</v>
      </c>
      <c r="AB41" s="123" t="e">
        <f>'（取引基本表）'!AP39/SUM('（取引基本表）'!$AP$4:$AP$40)*$AH$49</f>
        <v>#DIV/0!</v>
      </c>
      <c r="AC41" s="124" t="e">
        <f t="shared" si="4"/>
        <v>#DIV/0!</v>
      </c>
      <c r="AD41" s="124" t="e">
        <v>#DIV/0!</v>
      </c>
      <c r="AE41" s="124" t="e">
        <f t="shared" si="5"/>
        <v>#DIV/0!</v>
      </c>
    </row>
    <row r="42" spans="1:34" ht="12.75" thickBot="1" x14ac:dyDescent="0.25">
      <c r="A42" s="128"/>
      <c r="B42" s="129" t="s">
        <v>472</v>
      </c>
      <c r="C42" s="129" t="s">
        <v>387</v>
      </c>
      <c r="D42" s="130">
        <f>SUMIF('（計算用1）'!$Q$145:$Q$152,'（計算用2）'!C42,'（計算用1）'!$R$145:$R$152)/1000</f>
        <v>0</v>
      </c>
      <c r="E42" s="130" t="e">
        <f>SUMIF('（計算用1）'!$M$188:$M$196,'（計算用2）'!C42,'（計算用1）'!$N$188:$N$196)/1000</f>
        <v>#DIV/0!</v>
      </c>
      <c r="F42" s="130" t="e">
        <f t="shared" si="6"/>
        <v>#DIV/0!</v>
      </c>
      <c r="G42" s="131">
        <v>2.4379999999999999E-2</v>
      </c>
      <c r="H42" s="131">
        <v>3.04E-2</v>
      </c>
      <c r="I42" s="130">
        <f t="shared" si="7"/>
        <v>0</v>
      </c>
      <c r="J42" s="130">
        <f t="shared" si="0"/>
        <v>0</v>
      </c>
      <c r="K42" s="130" t="e">
        <f t="shared" si="8"/>
        <v>#DIV/0!</v>
      </c>
      <c r="L42" s="130" t="e">
        <f t="shared" si="1"/>
        <v>#DIV/0!</v>
      </c>
      <c r="M42" s="130">
        <f t="shared" si="18"/>
        <v>0</v>
      </c>
      <c r="N42" s="130" t="e">
        <f t="shared" si="19"/>
        <v>#DIV/0!</v>
      </c>
      <c r="O42" s="130" t="e">
        <f t="shared" si="11"/>
        <v>#DIV/0!</v>
      </c>
      <c r="P42" s="141">
        <f>'（取引基本表）'!BH40</f>
        <v>0.98931102679186655</v>
      </c>
      <c r="Q42" s="130">
        <f t="shared" si="12"/>
        <v>0</v>
      </c>
      <c r="R42" s="130" t="e">
        <f t="shared" si="13"/>
        <v>#DIV/0!</v>
      </c>
      <c r="S42" s="130" t="e">
        <f t="shared" si="14"/>
        <v>#DIV/0!</v>
      </c>
      <c r="T42" s="130">
        <v>0</v>
      </c>
      <c r="U42" s="130" t="e">
        <v>#DIV/0!</v>
      </c>
      <c r="V42" s="130" t="e">
        <f t="shared" si="2"/>
        <v>#DIV/0!</v>
      </c>
      <c r="W42" s="130">
        <f t="shared" si="15"/>
        <v>0</v>
      </c>
      <c r="X42" s="130" t="e">
        <f t="shared" si="16"/>
        <v>#DIV/0!</v>
      </c>
      <c r="Y42" s="130" t="e">
        <f t="shared" si="3"/>
        <v>#DIV/0!</v>
      </c>
      <c r="Z42" s="139">
        <v>1.2664213077041749E-2</v>
      </c>
      <c r="AA42" s="130" t="e">
        <f t="shared" si="17"/>
        <v>#DIV/0!</v>
      </c>
      <c r="AB42" s="130" t="e">
        <f>'（取引基本表）'!AP40/SUM('（取引基本表）'!$AP$4:$AP$40)*$AH$49</f>
        <v>#DIV/0!</v>
      </c>
      <c r="AC42" s="130" t="e">
        <f t="shared" si="4"/>
        <v>#DIV/0!</v>
      </c>
      <c r="AD42" s="130" t="e">
        <v>#DIV/0!</v>
      </c>
      <c r="AE42" s="130" t="e">
        <f t="shared" si="5"/>
        <v>#DIV/0!</v>
      </c>
    </row>
    <row r="43" spans="1:34" ht="12.75" thickTop="1" x14ac:dyDescent="0.2">
      <c r="B43" s="132"/>
      <c r="C43" s="132" t="s">
        <v>478</v>
      </c>
      <c r="D43" s="123">
        <f>SUM(D6:D42)</f>
        <v>0</v>
      </c>
      <c r="E43" s="123" t="e">
        <f>SUM(E6:E42)</f>
        <v>#DIV/0!</v>
      </c>
      <c r="F43" s="123" t="e">
        <f t="shared" ref="F43" si="20">SUM(F6:F42)</f>
        <v>#DIV/0!</v>
      </c>
      <c r="G43" s="132" t="s">
        <v>479</v>
      </c>
      <c r="H43" s="132" t="s">
        <v>479</v>
      </c>
      <c r="I43" s="123">
        <f>SUM(I6:I42)</f>
        <v>0</v>
      </c>
      <c r="J43" s="123">
        <f t="shared" ref="J43:O43" si="21">SUM(J6:J42)</f>
        <v>0</v>
      </c>
      <c r="K43" s="123" t="e">
        <f t="shared" si="21"/>
        <v>#DIV/0!</v>
      </c>
      <c r="L43" s="123" t="e">
        <f t="shared" si="21"/>
        <v>#DIV/0!</v>
      </c>
      <c r="M43" s="123">
        <f t="shared" si="21"/>
        <v>0</v>
      </c>
      <c r="N43" s="123" t="e">
        <f t="shared" si="21"/>
        <v>#DIV/0!</v>
      </c>
      <c r="O43" s="123" t="e">
        <f t="shared" si="21"/>
        <v>#DIV/0!</v>
      </c>
      <c r="P43" s="132" t="s">
        <v>479</v>
      </c>
      <c r="Q43" s="123">
        <f t="shared" ref="Q43:V43" si="22">SUM(Q6:Q42)</f>
        <v>0</v>
      </c>
      <c r="R43" s="123" t="e">
        <f t="shared" si="22"/>
        <v>#DIV/0!</v>
      </c>
      <c r="S43" s="123" t="e">
        <f t="shared" si="22"/>
        <v>#DIV/0!</v>
      </c>
      <c r="T43" s="123">
        <f t="shared" si="22"/>
        <v>0</v>
      </c>
      <c r="U43" s="123" t="e">
        <f t="shared" si="22"/>
        <v>#DIV/0!</v>
      </c>
      <c r="V43" s="123" t="e">
        <f t="shared" si="22"/>
        <v>#DIV/0!</v>
      </c>
      <c r="W43" s="123">
        <f>SUM(W6:W42)</f>
        <v>0</v>
      </c>
      <c r="X43" s="123" t="e">
        <f>SUM(X6:X42)</f>
        <v>#DIV/0!</v>
      </c>
      <c r="Y43" s="123" t="e">
        <f>SUM(Y6:Y42)</f>
        <v>#DIV/0!</v>
      </c>
      <c r="Z43" s="123" t="s">
        <v>479</v>
      </c>
      <c r="AA43" s="123" t="e">
        <f t="shared" ref="AA43:AC43" si="23">SUM(AA6:AA42)</f>
        <v>#DIV/0!</v>
      </c>
      <c r="AB43" s="123" t="e">
        <f t="shared" si="23"/>
        <v>#DIV/0!</v>
      </c>
      <c r="AC43" s="123" t="e">
        <f t="shared" si="23"/>
        <v>#DIV/0!</v>
      </c>
      <c r="AD43" s="123" t="e">
        <f>SUM(AD6:AD42)</f>
        <v>#DIV/0!</v>
      </c>
      <c r="AE43" s="123" t="e">
        <f t="shared" ref="AE43" si="24">SUM(AE6:AE42)</f>
        <v>#DIV/0!</v>
      </c>
    </row>
    <row r="44" spans="1:34" x14ac:dyDescent="0.2">
      <c r="D44" s="133"/>
      <c r="M44" s="133"/>
      <c r="Q44" s="134"/>
      <c r="R44" s="134"/>
      <c r="S44" s="134"/>
      <c r="T44" s="134"/>
      <c r="U44" s="134"/>
      <c r="V44" s="134"/>
      <c r="W44" s="134"/>
      <c r="X44" s="134"/>
      <c r="Y44" s="134"/>
      <c r="AA44" s="134"/>
    </row>
    <row r="45" spans="1:34" x14ac:dyDescent="0.2">
      <c r="D45" s="133"/>
      <c r="M45" s="133"/>
    </row>
    <row r="46" spans="1:34" x14ac:dyDescent="0.2">
      <c r="D46" s="133"/>
      <c r="M46" s="133"/>
      <c r="AG46" s="6" t="s">
        <v>372</v>
      </c>
      <c r="AH46" s="124">
        <f>'（計算用1）'!R147/1000</f>
        <v>0</v>
      </c>
    </row>
    <row r="47" spans="1:34" x14ac:dyDescent="0.2">
      <c r="D47" s="133"/>
      <c r="M47" s="133"/>
      <c r="AG47" s="6" t="s">
        <v>480</v>
      </c>
      <c r="AH47" s="124" t="e">
        <f>AH46+AA43</f>
        <v>#DIV/0!</v>
      </c>
    </row>
    <row r="48" spans="1:34" x14ac:dyDescent="0.2">
      <c r="D48" s="133"/>
      <c r="M48" s="133"/>
      <c r="AG48" s="6" t="s">
        <v>481</v>
      </c>
      <c r="AH48" s="140">
        <v>0.61299999999999999</v>
      </c>
    </row>
    <row r="49" spans="4:34" x14ac:dyDescent="0.2">
      <c r="D49" s="133"/>
      <c r="M49" s="133"/>
      <c r="AG49" s="6" t="s">
        <v>482</v>
      </c>
      <c r="AH49" s="56" t="e">
        <f>AH47*AH48</f>
        <v>#DIV/0!</v>
      </c>
    </row>
    <row r="50" spans="4:34" x14ac:dyDescent="0.2">
      <c r="D50" s="133"/>
      <c r="M50" s="133"/>
      <c r="AG50" s="3" t="s">
        <v>483</v>
      </c>
    </row>
    <row r="51" spans="4:34" x14ac:dyDescent="0.2">
      <c r="D51" s="133"/>
      <c r="M51" s="133"/>
    </row>
    <row r="52" spans="4:34" x14ac:dyDescent="0.2">
      <c r="D52" s="133"/>
      <c r="M52" s="133"/>
    </row>
    <row r="53" spans="4:34" x14ac:dyDescent="0.2">
      <c r="D53" s="133"/>
      <c r="M53" s="133"/>
    </row>
  </sheetData>
  <mergeCells count="2">
    <mergeCell ref="B3:C5"/>
    <mergeCell ref="P3:P5"/>
  </mergeCells>
  <phoneticPr fontId="3"/>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63D9-5178-4CF7-A723-1F51EE3AD8F2}">
  <dimension ref="B2:D48"/>
  <sheetViews>
    <sheetView workbookViewId="0">
      <selection activeCell="C2" sqref="C2:C6"/>
    </sheetView>
  </sheetViews>
  <sheetFormatPr defaultRowHeight="12" x14ac:dyDescent="0.2"/>
  <sheetData>
    <row r="2" spans="2:4" x14ac:dyDescent="0.2">
      <c r="B2" t="s">
        <v>29</v>
      </c>
      <c r="C2" t="s">
        <v>113</v>
      </c>
      <c r="D2" t="s">
        <v>108</v>
      </c>
    </row>
    <row r="3" spans="2:4" x14ac:dyDescent="0.2">
      <c r="B3" t="s">
        <v>30</v>
      </c>
      <c r="C3" t="s">
        <v>255</v>
      </c>
      <c r="D3" t="s">
        <v>111</v>
      </c>
    </row>
    <row r="4" spans="2:4" x14ac:dyDescent="0.2">
      <c r="B4" t="s">
        <v>31</v>
      </c>
      <c r="C4" t="s">
        <v>270</v>
      </c>
      <c r="D4" t="s">
        <v>112</v>
      </c>
    </row>
    <row r="5" spans="2:4" x14ac:dyDescent="0.2">
      <c r="B5" t="s">
        <v>32</v>
      </c>
      <c r="C5" t="s">
        <v>316</v>
      </c>
    </row>
    <row r="6" spans="2:4" x14ac:dyDescent="0.2">
      <c r="B6" t="s">
        <v>33</v>
      </c>
      <c r="C6" t="s">
        <v>338</v>
      </c>
    </row>
    <row r="7" spans="2:4" x14ac:dyDescent="0.2">
      <c r="B7" t="s">
        <v>34</v>
      </c>
    </row>
    <row r="8" spans="2:4" x14ac:dyDescent="0.2">
      <c r="B8" t="s">
        <v>35</v>
      </c>
    </row>
    <row r="9" spans="2:4" x14ac:dyDescent="0.2">
      <c r="B9" t="s">
        <v>36</v>
      </c>
    </row>
    <row r="10" spans="2:4" x14ac:dyDescent="0.2">
      <c r="B10" t="s">
        <v>37</v>
      </c>
    </row>
    <row r="11" spans="2:4" x14ac:dyDescent="0.2">
      <c r="B11" t="s">
        <v>38</v>
      </c>
    </row>
    <row r="12" spans="2:4" x14ac:dyDescent="0.2">
      <c r="B12" t="s">
        <v>39</v>
      </c>
    </row>
    <row r="13" spans="2:4" x14ac:dyDescent="0.2">
      <c r="B13" t="s">
        <v>40</v>
      </c>
    </row>
    <row r="14" spans="2:4" x14ac:dyDescent="0.2">
      <c r="B14" t="s">
        <v>41</v>
      </c>
    </row>
    <row r="15" spans="2:4" x14ac:dyDescent="0.2">
      <c r="B15" t="s">
        <v>42</v>
      </c>
    </row>
    <row r="16" spans="2:4" x14ac:dyDescent="0.2">
      <c r="B16" t="s">
        <v>43</v>
      </c>
    </row>
    <row r="17" spans="2:2" x14ac:dyDescent="0.2">
      <c r="B17" t="s">
        <v>44</v>
      </c>
    </row>
    <row r="18" spans="2:2" x14ac:dyDescent="0.2">
      <c r="B18" t="s">
        <v>45</v>
      </c>
    </row>
    <row r="19" spans="2:2" x14ac:dyDescent="0.2">
      <c r="B19" t="s">
        <v>46</v>
      </c>
    </row>
    <row r="20" spans="2:2" x14ac:dyDescent="0.2">
      <c r="B20" t="s">
        <v>47</v>
      </c>
    </row>
    <row r="21" spans="2:2" x14ac:dyDescent="0.2">
      <c r="B21" t="s">
        <v>48</v>
      </c>
    </row>
    <row r="22" spans="2:2" x14ac:dyDescent="0.2">
      <c r="B22" t="s">
        <v>49</v>
      </c>
    </row>
    <row r="23" spans="2:2" x14ac:dyDescent="0.2">
      <c r="B23" t="s">
        <v>50</v>
      </c>
    </row>
    <row r="24" spans="2:2" x14ac:dyDescent="0.2">
      <c r="B24" t="s">
        <v>51</v>
      </c>
    </row>
    <row r="25" spans="2:2" x14ac:dyDescent="0.2">
      <c r="B25" t="s">
        <v>52</v>
      </c>
    </row>
    <row r="26" spans="2:2" x14ac:dyDescent="0.2">
      <c r="B26" t="s">
        <v>53</v>
      </c>
    </row>
    <row r="27" spans="2:2" x14ac:dyDescent="0.2">
      <c r="B27" t="s">
        <v>54</v>
      </c>
    </row>
    <row r="28" spans="2:2" x14ac:dyDescent="0.2">
      <c r="B28" t="s">
        <v>55</v>
      </c>
    </row>
    <row r="29" spans="2:2" x14ac:dyDescent="0.2">
      <c r="B29" t="s">
        <v>56</v>
      </c>
    </row>
    <row r="30" spans="2:2" x14ac:dyDescent="0.2">
      <c r="B30" t="s">
        <v>57</v>
      </c>
    </row>
    <row r="31" spans="2:2" x14ac:dyDescent="0.2">
      <c r="B31" t="s">
        <v>58</v>
      </c>
    </row>
    <row r="32" spans="2:2" x14ac:dyDescent="0.2">
      <c r="B32" t="s">
        <v>59</v>
      </c>
    </row>
    <row r="33" spans="2:2" x14ac:dyDescent="0.2">
      <c r="B33" t="s">
        <v>60</v>
      </c>
    </row>
    <row r="34" spans="2:2" x14ac:dyDescent="0.2">
      <c r="B34" t="s">
        <v>61</v>
      </c>
    </row>
    <row r="35" spans="2:2" x14ac:dyDescent="0.2">
      <c r="B35" t="s">
        <v>62</v>
      </c>
    </row>
    <row r="36" spans="2:2" x14ac:dyDescent="0.2">
      <c r="B36" t="s">
        <v>63</v>
      </c>
    </row>
    <row r="37" spans="2:2" x14ac:dyDescent="0.2">
      <c r="B37" t="s">
        <v>64</v>
      </c>
    </row>
    <row r="38" spans="2:2" x14ac:dyDescent="0.2">
      <c r="B38" t="s">
        <v>65</v>
      </c>
    </row>
    <row r="39" spans="2:2" x14ac:dyDescent="0.2">
      <c r="B39" t="s">
        <v>66</v>
      </c>
    </row>
    <row r="40" spans="2:2" x14ac:dyDescent="0.2">
      <c r="B40" t="s">
        <v>67</v>
      </c>
    </row>
    <row r="41" spans="2:2" x14ac:dyDescent="0.2">
      <c r="B41" t="s">
        <v>68</v>
      </c>
    </row>
    <row r="42" spans="2:2" x14ac:dyDescent="0.2">
      <c r="B42" t="s">
        <v>69</v>
      </c>
    </row>
    <row r="43" spans="2:2" x14ac:dyDescent="0.2">
      <c r="B43" t="s">
        <v>70</v>
      </c>
    </row>
    <row r="44" spans="2:2" x14ac:dyDescent="0.2">
      <c r="B44" t="s">
        <v>71</v>
      </c>
    </row>
    <row r="45" spans="2:2" x14ac:dyDescent="0.2">
      <c r="B45" t="s">
        <v>72</v>
      </c>
    </row>
    <row r="46" spans="2:2" x14ac:dyDescent="0.2">
      <c r="B46" t="s">
        <v>73</v>
      </c>
    </row>
    <row r="47" spans="2:2" x14ac:dyDescent="0.2">
      <c r="B47" t="s">
        <v>74</v>
      </c>
    </row>
    <row r="48" spans="2:2" x14ac:dyDescent="0.2">
      <c r="B48" t="s">
        <v>75</v>
      </c>
    </row>
  </sheetData>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B75EA-367C-4B02-BCA8-2CF8CB5BCA80}">
  <sheetPr>
    <pageSetUpPr fitToPage="1"/>
  </sheetPr>
  <dimension ref="A2:O52"/>
  <sheetViews>
    <sheetView showGridLines="0" zoomScaleNormal="100" zoomScaleSheetLayoutView="100" workbookViewId="0"/>
  </sheetViews>
  <sheetFormatPr defaultColWidth="7.140625" defaultRowHeight="12" x14ac:dyDescent="0.2"/>
  <cols>
    <col min="1" max="16384" width="7.140625" style="24"/>
  </cols>
  <sheetData>
    <row r="2" spans="1:15" x14ac:dyDescent="0.2">
      <c r="B2" s="189" t="s">
        <v>119</v>
      </c>
      <c r="C2" s="189" t="s">
        <v>141</v>
      </c>
      <c r="D2" s="189"/>
      <c r="E2" s="189"/>
      <c r="F2" s="189"/>
      <c r="G2" s="189"/>
      <c r="H2" s="189"/>
      <c r="I2" s="189"/>
      <c r="J2" s="189"/>
      <c r="K2" s="189" t="s">
        <v>3</v>
      </c>
      <c r="L2" s="189"/>
      <c r="M2" s="189"/>
      <c r="N2" s="189"/>
      <c r="O2" s="189" t="s">
        <v>140</v>
      </c>
    </row>
    <row r="3" spans="1:15" x14ac:dyDescent="0.2">
      <c r="B3" s="189"/>
      <c r="C3" s="189" t="s">
        <v>142</v>
      </c>
      <c r="D3" s="189"/>
      <c r="E3" s="189"/>
      <c r="F3" s="189"/>
      <c r="G3" s="189" t="s">
        <v>143</v>
      </c>
      <c r="H3" s="189"/>
      <c r="I3" s="189"/>
      <c r="J3" s="189"/>
      <c r="K3" s="189" t="s">
        <v>142</v>
      </c>
      <c r="L3" s="189"/>
      <c r="M3" s="189" t="s">
        <v>143</v>
      </c>
      <c r="N3" s="189"/>
      <c r="O3" s="189"/>
    </row>
    <row r="4" spans="1:15" x14ac:dyDescent="0.2">
      <c r="B4" s="189"/>
      <c r="C4" s="189" t="s">
        <v>7</v>
      </c>
      <c r="D4" s="189"/>
      <c r="E4" s="189" t="s">
        <v>8</v>
      </c>
      <c r="F4" s="189"/>
      <c r="G4" s="189" t="s">
        <v>7</v>
      </c>
      <c r="H4" s="189"/>
      <c r="I4" s="189" t="s">
        <v>8</v>
      </c>
      <c r="J4" s="189"/>
      <c r="K4" s="189" t="s">
        <v>155</v>
      </c>
      <c r="L4" s="189"/>
      <c r="M4" s="189" t="s">
        <v>155</v>
      </c>
      <c r="N4" s="189"/>
      <c r="O4" s="189"/>
    </row>
    <row r="5" spans="1:15" s="25" customFormat="1" x14ac:dyDescent="0.2">
      <c r="B5" s="189"/>
      <c r="C5" s="32" t="s">
        <v>9</v>
      </c>
      <c r="D5" s="33" t="s">
        <v>10</v>
      </c>
      <c r="E5" s="32" t="s">
        <v>9</v>
      </c>
      <c r="F5" s="33" t="s">
        <v>10</v>
      </c>
      <c r="G5" s="33" t="s">
        <v>9</v>
      </c>
      <c r="H5" s="33" t="s">
        <v>10</v>
      </c>
      <c r="I5" s="33" t="s">
        <v>9</v>
      </c>
      <c r="J5" s="33" t="s">
        <v>10</v>
      </c>
      <c r="K5" s="32" t="s">
        <v>9</v>
      </c>
      <c r="L5" s="33" t="s">
        <v>10</v>
      </c>
      <c r="M5" s="33" t="s">
        <v>9</v>
      </c>
      <c r="N5" s="33" t="s">
        <v>10</v>
      </c>
      <c r="O5" s="189"/>
    </row>
    <row r="6" spans="1:15" s="25" customFormat="1" x14ac:dyDescent="0.2">
      <c r="B6" s="26" t="s">
        <v>29</v>
      </c>
      <c r="C6" s="27">
        <f>C7</f>
        <v>377.82820828832644</v>
      </c>
      <c r="D6" s="27">
        <f t="shared" ref="D6:J6" si="0">D7</f>
        <v>6077.7833869510696</v>
      </c>
      <c r="E6" s="27">
        <f t="shared" si="0"/>
        <v>764.4744186089041</v>
      </c>
      <c r="F6" s="27">
        <f t="shared" si="0"/>
        <v>2043.5857224864408</v>
      </c>
      <c r="G6" s="27">
        <f t="shared" si="0"/>
        <v>18131.380345462225</v>
      </c>
      <c r="H6" s="27">
        <f t="shared" si="0"/>
        <v>4342.2391878782646</v>
      </c>
      <c r="I6" s="27">
        <f t="shared" si="0"/>
        <v>32997.613057111106</v>
      </c>
      <c r="J6" s="27">
        <f t="shared" si="0"/>
        <v>6312.3042352055627</v>
      </c>
      <c r="K6" s="31">
        <f>K7</f>
        <v>19.396664698328511</v>
      </c>
      <c r="L6" s="31"/>
      <c r="M6" s="31">
        <f t="shared" ref="M6:N6" si="1">M7</f>
        <v>42367.97462078344</v>
      </c>
      <c r="N6" s="31">
        <f t="shared" si="1"/>
        <v>0</v>
      </c>
      <c r="O6" s="26" t="s">
        <v>120</v>
      </c>
    </row>
    <row r="7" spans="1:15" s="25" customFormat="1" x14ac:dyDescent="0.2">
      <c r="B7" s="28" t="s">
        <v>30</v>
      </c>
      <c r="C7" s="27">
        <v>377.82820828832644</v>
      </c>
      <c r="D7" s="27">
        <v>6077.7833869510696</v>
      </c>
      <c r="E7" s="27">
        <v>764.4744186089041</v>
      </c>
      <c r="F7" s="27">
        <v>2043.5857224864408</v>
      </c>
      <c r="G7" s="27">
        <v>18131.380345462225</v>
      </c>
      <c r="H7" s="27">
        <v>4342.2391878782646</v>
      </c>
      <c r="I7" s="27">
        <v>32997.613057111106</v>
      </c>
      <c r="J7" s="27">
        <v>6312.3042352055627</v>
      </c>
      <c r="K7" s="31">
        <v>19.396664698328511</v>
      </c>
      <c r="L7" s="31"/>
      <c r="M7" s="31">
        <v>42367.97462078344</v>
      </c>
      <c r="N7" s="31"/>
      <c r="O7" s="26" t="s">
        <v>121</v>
      </c>
    </row>
    <row r="8" spans="1:15" s="25" customFormat="1" x14ac:dyDescent="0.2">
      <c r="B8" s="28" t="s">
        <v>31</v>
      </c>
      <c r="C8" s="27">
        <v>702.54852762420046</v>
      </c>
      <c r="D8" s="27">
        <v>4396.7623916236716</v>
      </c>
      <c r="E8" s="27">
        <v>925.24648005673555</v>
      </c>
      <c r="F8" s="27">
        <v>1681.182899477752</v>
      </c>
      <c r="G8" s="27">
        <v>16061.205117221451</v>
      </c>
      <c r="H8" s="27">
        <v>3282.6928571657377</v>
      </c>
      <c r="I8" s="27">
        <v>27377.267188465583</v>
      </c>
      <c r="J8" s="27">
        <v>4986.1987836797525</v>
      </c>
      <c r="K8" s="31">
        <v>27.085587853634401</v>
      </c>
      <c r="L8" s="31">
        <v>154.31708185014583</v>
      </c>
      <c r="M8" s="31">
        <v>47087.839852889541</v>
      </c>
      <c r="N8" s="31">
        <v>10581.779459579142</v>
      </c>
      <c r="O8" s="26" t="s">
        <v>121</v>
      </c>
    </row>
    <row r="9" spans="1:15" s="25" customFormat="1" x14ac:dyDescent="0.2">
      <c r="B9" s="28" t="s">
        <v>32</v>
      </c>
      <c r="C9" s="27">
        <v>1030.4581951455752</v>
      </c>
      <c r="D9" s="27">
        <v>11985.838753183783</v>
      </c>
      <c r="E9" s="27">
        <v>1273.6776542866778</v>
      </c>
      <c r="F9" s="27">
        <v>3146.3488401050945</v>
      </c>
      <c r="G9" s="27">
        <v>25098.285674495935</v>
      </c>
      <c r="H9" s="27">
        <v>5853.3013418954288</v>
      </c>
      <c r="I9" s="27">
        <v>29313.490408648875</v>
      </c>
      <c r="J9" s="27">
        <v>10345.528077068921</v>
      </c>
      <c r="K9" s="31">
        <v>34.507476268102415</v>
      </c>
      <c r="L9" s="31">
        <v>0.90090932417400904</v>
      </c>
      <c r="M9" s="31">
        <v>36100.481695183262</v>
      </c>
      <c r="N9" s="31">
        <v>0</v>
      </c>
      <c r="O9" s="26" t="s">
        <v>121</v>
      </c>
    </row>
    <row r="10" spans="1:15" s="25" customFormat="1" x14ac:dyDescent="0.2">
      <c r="B10" s="28" t="s">
        <v>33</v>
      </c>
      <c r="C10" s="27">
        <v>373.26868460028362</v>
      </c>
      <c r="D10" s="27">
        <v>4999.8760299503983</v>
      </c>
      <c r="E10" s="27">
        <v>479.72078530914337</v>
      </c>
      <c r="F10" s="27">
        <v>1807.5146116238891</v>
      </c>
      <c r="G10" s="27">
        <v>18084.062015581716</v>
      </c>
      <c r="H10" s="27">
        <v>2935.073521971412</v>
      </c>
      <c r="I10" s="27">
        <v>23651.450904597943</v>
      </c>
      <c r="J10" s="27">
        <v>5178.1596696607921</v>
      </c>
      <c r="K10" s="31">
        <v>8.9140909090909108</v>
      </c>
      <c r="L10" s="31">
        <v>21.702506143150408</v>
      </c>
      <c r="M10" s="31">
        <v>32353.306899299176</v>
      </c>
      <c r="N10" s="31">
        <v>8317.4741642837344</v>
      </c>
      <c r="O10" s="26" t="s">
        <v>121</v>
      </c>
    </row>
    <row r="11" spans="1:15" s="25" customFormat="1" x14ac:dyDescent="0.2">
      <c r="B11" s="28" t="s">
        <v>34</v>
      </c>
      <c r="C11" s="27">
        <v>540.53313556969749</v>
      </c>
      <c r="D11" s="27">
        <v>6412.7802088452536</v>
      </c>
      <c r="E11" s="27">
        <v>1001.2737616745491</v>
      </c>
      <c r="F11" s="27">
        <v>5803.3793285525962</v>
      </c>
      <c r="G11" s="27">
        <v>20309.368656739491</v>
      </c>
      <c r="H11" s="27">
        <v>3139.2411757463638</v>
      </c>
      <c r="I11" s="27">
        <v>31329.571219197354</v>
      </c>
      <c r="J11" s="27">
        <v>4895.1402379877791</v>
      </c>
      <c r="K11" s="31">
        <v>31.155676223955165</v>
      </c>
      <c r="L11" s="31">
        <v>1.4483611102105687</v>
      </c>
      <c r="M11" s="31">
        <v>69367.524426285207</v>
      </c>
      <c r="N11" s="31">
        <v>10581.779459579142</v>
      </c>
      <c r="O11" s="26" t="s">
        <v>121</v>
      </c>
    </row>
    <row r="12" spans="1:15" x14ac:dyDescent="0.2">
      <c r="A12" s="25"/>
      <c r="B12" s="28" t="s">
        <v>35</v>
      </c>
      <c r="C12" s="27">
        <v>1087.9195280142208</v>
      </c>
      <c r="D12" s="27">
        <v>7808.0468082978259</v>
      </c>
      <c r="E12" s="27">
        <v>1943.8643951550921</v>
      </c>
      <c r="F12" s="27">
        <v>7223.0160786240085</v>
      </c>
      <c r="G12" s="27">
        <v>20062.154611314032</v>
      </c>
      <c r="H12" s="27">
        <v>4112.8037061949854</v>
      </c>
      <c r="I12" s="27">
        <v>25127.462634638738</v>
      </c>
      <c r="J12" s="27">
        <v>7157.6047919518833</v>
      </c>
      <c r="K12" s="31">
        <v>34.150000000000006</v>
      </c>
      <c r="L12" s="31"/>
      <c r="M12" s="31">
        <v>22434.343569855882</v>
      </c>
      <c r="N12" s="31"/>
      <c r="O12" s="26" t="s">
        <v>121</v>
      </c>
    </row>
    <row r="13" spans="1:15" x14ac:dyDescent="0.2">
      <c r="A13" s="25"/>
      <c r="B13" s="28" t="s">
        <v>36</v>
      </c>
      <c r="C13" s="27">
        <v>402.29297810802939</v>
      </c>
      <c r="D13" s="27">
        <v>14147.286232337448</v>
      </c>
      <c r="E13" s="27">
        <v>966.59273989760027</v>
      </c>
      <c r="F13" s="27">
        <v>14843.253737766136</v>
      </c>
      <c r="G13" s="27">
        <v>10433.800980690088</v>
      </c>
      <c r="H13" s="27">
        <v>2779.1144754311999</v>
      </c>
      <c r="I13" s="27">
        <v>13947.403988694132</v>
      </c>
      <c r="J13" s="27">
        <v>4558.1085053738798</v>
      </c>
      <c r="K13" s="31">
        <v>7.53</v>
      </c>
      <c r="L13" s="31">
        <v>2.4942229204733684</v>
      </c>
      <c r="M13" s="31">
        <v>114996.6679725514</v>
      </c>
      <c r="N13" s="31">
        <v>9410.5425536995008</v>
      </c>
      <c r="O13" s="26" t="s">
        <v>121</v>
      </c>
    </row>
    <row r="14" spans="1:15" x14ac:dyDescent="0.2">
      <c r="A14" s="25"/>
      <c r="B14" s="28" t="s">
        <v>37</v>
      </c>
      <c r="C14" s="27">
        <v>850.45276574897184</v>
      </c>
      <c r="D14" s="27">
        <v>14060.967313433637</v>
      </c>
      <c r="E14" s="27">
        <v>3661.8961434237444</v>
      </c>
      <c r="F14" s="27">
        <v>14338.795179137942</v>
      </c>
      <c r="G14" s="27">
        <v>28914.556527251061</v>
      </c>
      <c r="H14" s="27">
        <v>8824.5012737197776</v>
      </c>
      <c r="I14" s="27">
        <v>33855.036188017941</v>
      </c>
      <c r="J14" s="27">
        <v>12880.544479178079</v>
      </c>
      <c r="K14" s="31">
        <v>24.479999999999997</v>
      </c>
      <c r="L14" s="31"/>
      <c r="M14" s="31">
        <v>19191.187761079822</v>
      </c>
      <c r="N14" s="31"/>
      <c r="O14" s="26" t="s">
        <v>121</v>
      </c>
    </row>
    <row r="15" spans="1:15" x14ac:dyDescent="0.2">
      <c r="A15" s="25"/>
      <c r="B15" s="28" t="s">
        <v>38</v>
      </c>
      <c r="C15" s="27">
        <v>795.94333953380533</v>
      </c>
      <c r="D15" s="27">
        <v>8755.5032244664035</v>
      </c>
      <c r="E15" s="27">
        <v>2794.0632215142682</v>
      </c>
      <c r="F15" s="27">
        <v>4919.0258156508598</v>
      </c>
      <c r="G15" s="27">
        <v>15090.681152369396</v>
      </c>
      <c r="H15" s="27">
        <v>2246.4544087723179</v>
      </c>
      <c r="I15" s="27">
        <v>17095.660872778895</v>
      </c>
      <c r="J15" s="27">
        <v>3930.5493720418435</v>
      </c>
      <c r="K15" s="31">
        <v>38.783743936263363</v>
      </c>
      <c r="L15" s="31">
        <v>5.7726859623189952</v>
      </c>
      <c r="M15" s="31">
        <v>35446.479784988274</v>
      </c>
      <c r="N15" s="31">
        <v>9410.5425536995008</v>
      </c>
      <c r="O15" s="26" t="s">
        <v>121</v>
      </c>
    </row>
    <row r="16" spans="1:15" x14ac:dyDescent="0.2">
      <c r="A16" s="25"/>
      <c r="B16" s="28" t="s">
        <v>39</v>
      </c>
      <c r="C16" s="27">
        <v>429.40383783984504</v>
      </c>
      <c r="D16" s="27">
        <v>61541.454012769638</v>
      </c>
      <c r="E16" s="27">
        <v>1040.7566152184636</v>
      </c>
      <c r="F16" s="27">
        <v>36475.716719967306</v>
      </c>
      <c r="G16" s="27">
        <v>22508.569308573453</v>
      </c>
      <c r="H16" s="27">
        <v>4639.5621865536523</v>
      </c>
      <c r="I16" s="27">
        <v>22447.879041800745</v>
      </c>
      <c r="J16" s="27">
        <v>6886.0654130986231</v>
      </c>
      <c r="K16" s="31">
        <v>53.084336918389653</v>
      </c>
      <c r="L16" s="31">
        <v>541.17286389037179</v>
      </c>
      <c r="M16" s="31">
        <v>45440.263184796429</v>
      </c>
      <c r="N16" s="31">
        <v>9414.291644481702</v>
      </c>
      <c r="O16" s="26" t="s">
        <v>122</v>
      </c>
    </row>
    <row r="17" spans="1:15" x14ac:dyDescent="0.2">
      <c r="A17" s="25"/>
      <c r="B17" s="28" t="s">
        <v>40</v>
      </c>
      <c r="C17" s="27">
        <v>1895.4947893592907</v>
      </c>
      <c r="D17" s="27">
        <v>28710.578865172891</v>
      </c>
      <c r="E17" s="27">
        <v>6363.8420681894413</v>
      </c>
      <c r="F17" s="27">
        <v>28689.047934878719</v>
      </c>
      <c r="G17" s="27">
        <v>27996.0113982927</v>
      </c>
      <c r="H17" s="27">
        <v>4924.9934185106767</v>
      </c>
      <c r="I17" s="27">
        <v>27519.592323982353</v>
      </c>
      <c r="J17" s="27">
        <v>8571.5523257760724</v>
      </c>
      <c r="K17" s="31">
        <v>447.62701473210058</v>
      </c>
      <c r="L17" s="31">
        <v>417.06126567603383</v>
      </c>
      <c r="M17" s="31">
        <v>35564.454838974198</v>
      </c>
      <c r="N17" s="31">
        <v>6948.4456108699469</v>
      </c>
      <c r="O17" s="26" t="s">
        <v>121</v>
      </c>
    </row>
    <row r="18" spans="1:15" x14ac:dyDescent="0.2">
      <c r="A18" s="25"/>
      <c r="B18" s="28" t="s">
        <v>41</v>
      </c>
      <c r="C18" s="29">
        <v>8393</v>
      </c>
      <c r="D18" s="29">
        <v>219525</v>
      </c>
      <c r="E18" s="29">
        <v>13832</v>
      </c>
      <c r="F18" s="29">
        <v>95304</v>
      </c>
      <c r="G18" s="29">
        <f>G19</f>
        <v>21520.778874926997</v>
      </c>
      <c r="H18" s="29">
        <f t="shared" ref="H18:J18" si="2">H19</f>
        <v>4441.8546671495042</v>
      </c>
      <c r="I18" s="29">
        <f t="shared" si="2"/>
        <v>24518.085717516704</v>
      </c>
      <c r="J18" s="29">
        <f t="shared" si="2"/>
        <v>5260.8577506887696</v>
      </c>
      <c r="K18" s="31">
        <v>1833</v>
      </c>
      <c r="L18" s="31">
        <v>691</v>
      </c>
      <c r="M18" s="31">
        <v>31934.938250179752</v>
      </c>
      <c r="N18" s="31">
        <v>8635.8981131334076</v>
      </c>
      <c r="O18" s="30" t="s">
        <v>123</v>
      </c>
    </row>
    <row r="19" spans="1:15" x14ac:dyDescent="0.2">
      <c r="A19" s="25"/>
      <c r="B19" s="28" t="s">
        <v>42</v>
      </c>
      <c r="C19" s="27">
        <v>2420.5734948280638</v>
      </c>
      <c r="D19" s="27">
        <v>39233.245767979563</v>
      </c>
      <c r="E19" s="27">
        <v>4013.5529965379646</v>
      </c>
      <c r="F19" s="27">
        <v>21624.03290913417</v>
      </c>
      <c r="G19" s="27">
        <v>21520.778874926997</v>
      </c>
      <c r="H19" s="27">
        <v>4441.8546671495042</v>
      </c>
      <c r="I19" s="27">
        <v>24518.085717516704</v>
      </c>
      <c r="J19" s="27">
        <v>5260.8577506887696</v>
      </c>
      <c r="K19" s="31">
        <v>191.03133801723436</v>
      </c>
      <c r="L19" s="31">
        <v>93.151904050816029</v>
      </c>
      <c r="M19" s="31">
        <v>31934.938250179752</v>
      </c>
      <c r="N19" s="31">
        <v>8635.8981131334076</v>
      </c>
      <c r="O19" s="26" t="s">
        <v>121</v>
      </c>
    </row>
    <row r="20" spans="1:15" x14ac:dyDescent="0.2">
      <c r="A20" s="25"/>
      <c r="B20" s="28" t="s">
        <v>43</v>
      </c>
      <c r="C20" s="27">
        <v>1569.1689135510619</v>
      </c>
      <c r="D20" s="27">
        <v>19327.565917789387</v>
      </c>
      <c r="E20" s="27">
        <v>3575.3209548090267</v>
      </c>
      <c r="F20" s="27">
        <v>6072.1273897272913</v>
      </c>
      <c r="G20" s="27">
        <v>25133.110699285979</v>
      </c>
      <c r="H20" s="27">
        <v>4823.3438379565205</v>
      </c>
      <c r="I20" s="27">
        <v>34713.000225325246</v>
      </c>
      <c r="J20" s="27">
        <v>10824.302965314178</v>
      </c>
      <c r="K20" s="31">
        <v>159.27893741787238</v>
      </c>
      <c r="L20" s="31"/>
      <c r="M20" s="31">
        <v>48916.456057996002</v>
      </c>
      <c r="N20" s="31"/>
      <c r="O20" s="26" t="s">
        <v>122</v>
      </c>
    </row>
    <row r="21" spans="1:15" x14ac:dyDescent="0.2">
      <c r="A21" s="25"/>
      <c r="B21" s="28" t="s">
        <v>44</v>
      </c>
      <c r="C21" s="27">
        <v>322.8133716837267</v>
      </c>
      <c r="D21" s="27">
        <v>6034.7329525910027</v>
      </c>
      <c r="E21" s="27">
        <v>550.74550973008627</v>
      </c>
      <c r="F21" s="27">
        <v>2369.7203282704941</v>
      </c>
      <c r="G21" s="27">
        <v>17759.338802981514</v>
      </c>
      <c r="H21" s="27">
        <v>3437.8676445245615</v>
      </c>
      <c r="I21" s="27">
        <v>27737.778534361776</v>
      </c>
      <c r="J21" s="27">
        <v>9351.4751576126037</v>
      </c>
      <c r="K21" s="31">
        <v>20.922105537089326</v>
      </c>
      <c r="L21" s="31">
        <v>0.80364488904208753</v>
      </c>
      <c r="M21" s="31">
        <v>28398.240434709351</v>
      </c>
      <c r="N21" s="31">
        <v>15702.123969379736</v>
      </c>
      <c r="O21" s="26" t="s">
        <v>121</v>
      </c>
    </row>
    <row r="22" spans="1:15" x14ac:dyDescent="0.2">
      <c r="A22" s="25"/>
      <c r="B22" s="28" t="s">
        <v>45</v>
      </c>
      <c r="C22" s="27">
        <f>C21</f>
        <v>322.8133716837267</v>
      </c>
      <c r="D22" s="27">
        <f t="shared" ref="D22:J22" si="3">D21</f>
        <v>6034.7329525910027</v>
      </c>
      <c r="E22" s="27">
        <f t="shared" si="3"/>
        <v>550.74550973008627</v>
      </c>
      <c r="F22" s="27">
        <f t="shared" si="3"/>
        <v>2369.7203282704941</v>
      </c>
      <c r="G22" s="27">
        <f t="shared" si="3"/>
        <v>17759.338802981514</v>
      </c>
      <c r="H22" s="27">
        <f t="shared" si="3"/>
        <v>3437.8676445245615</v>
      </c>
      <c r="I22" s="27">
        <f t="shared" si="3"/>
        <v>27737.778534361776</v>
      </c>
      <c r="J22" s="27">
        <f t="shared" si="3"/>
        <v>9351.4751576126037</v>
      </c>
      <c r="K22" s="31">
        <f>K21</f>
        <v>20.922105537089326</v>
      </c>
      <c r="L22" s="31">
        <f t="shared" ref="L22:N22" si="4">L21</f>
        <v>0.80364488904208753</v>
      </c>
      <c r="M22" s="31">
        <f t="shared" si="4"/>
        <v>28398.240434709351</v>
      </c>
      <c r="N22" s="31">
        <f t="shared" si="4"/>
        <v>15702.123969379736</v>
      </c>
      <c r="O22" s="26" t="s">
        <v>124</v>
      </c>
    </row>
    <row r="23" spans="1:15" x14ac:dyDescent="0.2">
      <c r="A23" s="25"/>
      <c r="B23" s="28" t="s">
        <v>46</v>
      </c>
      <c r="C23" s="27">
        <v>325.76977233327233</v>
      </c>
      <c r="D23" s="27">
        <v>2320.2476206366127</v>
      </c>
      <c r="E23" s="27">
        <v>928.32874049061616</v>
      </c>
      <c r="F23" s="27">
        <v>3857.1494222858673</v>
      </c>
      <c r="G23" s="27">
        <v>15310.238253351943</v>
      </c>
      <c r="H23" s="27">
        <v>2911.9511973783856</v>
      </c>
      <c r="I23" s="27">
        <v>20616.699356469311</v>
      </c>
      <c r="J23" s="27">
        <v>6065.5059956169753</v>
      </c>
      <c r="K23" s="31">
        <v>8.2000000000000011</v>
      </c>
      <c r="L23" s="31"/>
      <c r="M23" s="31">
        <v>20022.560975609755</v>
      </c>
      <c r="N23" s="31"/>
      <c r="O23" s="26" t="s">
        <v>121</v>
      </c>
    </row>
    <row r="24" spans="1:15" x14ac:dyDescent="0.2">
      <c r="A24" s="25"/>
      <c r="B24" s="28" t="s">
        <v>47</v>
      </c>
      <c r="C24" s="27">
        <v>332.01770963060994</v>
      </c>
      <c r="D24" s="27">
        <v>4250.9713135074198</v>
      </c>
      <c r="E24" s="27">
        <v>2582.091326598128</v>
      </c>
      <c r="F24" s="27">
        <v>8266.7061568369118</v>
      </c>
      <c r="G24" s="27">
        <v>25756.386764028455</v>
      </c>
      <c r="H24" s="27">
        <v>5966.7189811137923</v>
      </c>
      <c r="I24" s="27">
        <v>39940.027488965454</v>
      </c>
      <c r="J24" s="27">
        <v>12572.903032365022</v>
      </c>
      <c r="K24" s="31">
        <v>182.15587432826808</v>
      </c>
      <c r="L24" s="31">
        <v>25.300296003215458</v>
      </c>
      <c r="M24" s="31">
        <v>16018.577390186323</v>
      </c>
      <c r="N24" s="31">
        <v>1813.3017626297628</v>
      </c>
      <c r="O24" s="26" t="s">
        <v>121</v>
      </c>
    </row>
    <row r="25" spans="1:15" x14ac:dyDescent="0.2">
      <c r="A25" s="25"/>
      <c r="B25" s="28" t="s">
        <v>48</v>
      </c>
      <c r="C25" s="27">
        <v>1374.7889860349819</v>
      </c>
      <c r="D25" s="27">
        <v>6809.9270958091511</v>
      </c>
      <c r="E25" s="27">
        <v>5303.1911769874705</v>
      </c>
      <c r="F25" s="27">
        <v>7304.4999416544506</v>
      </c>
      <c r="G25" s="27">
        <v>30911.426864206001</v>
      </c>
      <c r="H25" s="27">
        <v>14387.560835166139</v>
      </c>
      <c r="I25" s="27">
        <v>63351.1436827242</v>
      </c>
      <c r="J25" s="27">
        <v>17414.579728990899</v>
      </c>
      <c r="K25" s="31">
        <v>285.46962468681738</v>
      </c>
      <c r="L25" s="31">
        <v>36.463599040586985</v>
      </c>
      <c r="M25" s="31">
        <v>77098.661471465122</v>
      </c>
      <c r="N25" s="31">
        <v>11633.75190220546</v>
      </c>
      <c r="O25" s="26" t="s">
        <v>121</v>
      </c>
    </row>
    <row r="26" spans="1:15" x14ac:dyDescent="0.2">
      <c r="A26" s="25"/>
      <c r="B26" s="28" t="s">
        <v>49</v>
      </c>
      <c r="C26" s="27">
        <v>655.98026923495604</v>
      </c>
      <c r="D26" s="27">
        <v>14446.706037982727</v>
      </c>
      <c r="E26" s="27">
        <v>2871.5014195691188</v>
      </c>
      <c r="F26" s="27">
        <v>26796.849872521816</v>
      </c>
      <c r="G26" s="27">
        <v>19213.707470468307</v>
      </c>
      <c r="H26" s="27">
        <v>2850.8455326092144</v>
      </c>
      <c r="I26" s="27">
        <v>23438.345144131716</v>
      </c>
      <c r="J26" s="27">
        <v>3829.1853261017895</v>
      </c>
      <c r="K26" s="31">
        <v>985.27</v>
      </c>
      <c r="L26" s="31">
        <v>71.655693671455992</v>
      </c>
      <c r="M26" s="31">
        <v>19031.105902306877</v>
      </c>
      <c r="N26" s="31">
        <v>4682.6973947322258</v>
      </c>
      <c r="O26" s="26" t="s">
        <v>122</v>
      </c>
    </row>
    <row r="27" spans="1:15" x14ac:dyDescent="0.2">
      <c r="A27" s="25"/>
      <c r="B27" s="28" t="s">
        <v>50</v>
      </c>
      <c r="C27" s="27">
        <f>C28</f>
        <v>1110.4255705113935</v>
      </c>
      <c r="D27" s="27">
        <f t="shared" ref="D27:J27" si="5">D28</f>
        <v>32535.460323877767</v>
      </c>
      <c r="E27" s="27">
        <f t="shared" si="5"/>
        <v>1300.2379512259863</v>
      </c>
      <c r="F27" s="27">
        <f t="shared" si="5"/>
        <v>12536.046124150695</v>
      </c>
      <c r="G27" s="27">
        <f t="shared" si="5"/>
        <v>18563.210935449635</v>
      </c>
      <c r="H27" s="27">
        <f t="shared" si="5"/>
        <v>2739.5436155195816</v>
      </c>
      <c r="I27" s="27">
        <f t="shared" si="5"/>
        <v>19572.088727385613</v>
      </c>
      <c r="J27" s="27">
        <f t="shared" si="5"/>
        <v>4145.7697962685361</v>
      </c>
      <c r="K27" s="31">
        <f>K28</f>
        <v>154.68525682295123</v>
      </c>
      <c r="L27" s="31">
        <f t="shared" ref="L27:N27" si="6">L28</f>
        <v>309.73642157779057</v>
      </c>
      <c r="M27" s="31">
        <f t="shared" si="6"/>
        <v>67626.084485372034</v>
      </c>
      <c r="N27" s="31">
        <f t="shared" si="6"/>
        <v>7187.3742114641664</v>
      </c>
      <c r="O27" s="26" t="s">
        <v>125</v>
      </c>
    </row>
    <row r="28" spans="1:15" x14ac:dyDescent="0.2">
      <c r="A28" s="25"/>
      <c r="B28" s="28" t="s">
        <v>51</v>
      </c>
      <c r="C28" s="27">
        <v>1110.4255705113935</v>
      </c>
      <c r="D28" s="27">
        <v>32535.460323877767</v>
      </c>
      <c r="E28" s="27">
        <v>1300.2379512259863</v>
      </c>
      <c r="F28" s="27">
        <v>12536.046124150695</v>
      </c>
      <c r="G28" s="27">
        <v>18563.210935449635</v>
      </c>
      <c r="H28" s="27">
        <v>2739.5436155195816</v>
      </c>
      <c r="I28" s="27">
        <v>19572.088727385613</v>
      </c>
      <c r="J28" s="27">
        <v>4145.7697962685361</v>
      </c>
      <c r="K28" s="31">
        <v>154.68525682295123</v>
      </c>
      <c r="L28" s="31">
        <v>309.73642157779057</v>
      </c>
      <c r="M28" s="31">
        <v>67626.084485372034</v>
      </c>
      <c r="N28" s="31">
        <v>7187.3742114641664</v>
      </c>
      <c r="O28" s="26" t="s">
        <v>121</v>
      </c>
    </row>
    <row r="29" spans="1:15" x14ac:dyDescent="0.2">
      <c r="A29" s="25"/>
      <c r="B29" s="28" t="s">
        <v>52</v>
      </c>
      <c r="C29" s="27">
        <f>C28</f>
        <v>1110.4255705113935</v>
      </c>
      <c r="D29" s="27">
        <f t="shared" ref="D29:J29" si="7">D28</f>
        <v>32535.460323877767</v>
      </c>
      <c r="E29" s="27">
        <f t="shared" si="7"/>
        <v>1300.2379512259863</v>
      </c>
      <c r="F29" s="27">
        <f t="shared" si="7"/>
        <v>12536.046124150695</v>
      </c>
      <c r="G29" s="27">
        <f t="shared" si="7"/>
        <v>18563.210935449635</v>
      </c>
      <c r="H29" s="27">
        <f t="shared" si="7"/>
        <v>2739.5436155195816</v>
      </c>
      <c r="I29" s="27">
        <f t="shared" si="7"/>
        <v>19572.088727385613</v>
      </c>
      <c r="J29" s="27">
        <f t="shared" si="7"/>
        <v>4145.7697962685361</v>
      </c>
      <c r="K29" s="31">
        <f>K28</f>
        <v>154.68525682295123</v>
      </c>
      <c r="L29" s="31">
        <f t="shared" ref="L29:N29" si="8">L28</f>
        <v>309.73642157779057</v>
      </c>
      <c r="M29" s="31">
        <f t="shared" si="8"/>
        <v>67626.084485372034</v>
      </c>
      <c r="N29" s="31">
        <f t="shared" si="8"/>
        <v>7187.3742114641664</v>
      </c>
      <c r="O29" s="26" t="s">
        <v>125</v>
      </c>
    </row>
    <row r="30" spans="1:15" x14ac:dyDescent="0.2">
      <c r="A30" s="25"/>
      <c r="B30" s="28" t="s">
        <v>53</v>
      </c>
      <c r="C30" s="27">
        <v>277.44092684321311</v>
      </c>
      <c r="D30" s="27">
        <v>7418.7124583232044</v>
      </c>
      <c r="E30" s="27">
        <v>1128.2970402525248</v>
      </c>
      <c r="F30" s="27">
        <v>18636.439130647406</v>
      </c>
      <c r="G30" s="27">
        <v>34743.695494009306</v>
      </c>
      <c r="H30" s="27">
        <v>4913.7742883832962</v>
      </c>
      <c r="I30" s="27">
        <v>35146.865388407154</v>
      </c>
      <c r="J30" s="27">
        <v>9597.7371709152103</v>
      </c>
      <c r="K30" s="31">
        <v>25.7</v>
      </c>
      <c r="L30" s="31">
        <v>25.042303999940795</v>
      </c>
      <c r="M30" s="31">
        <v>28979.030241895634</v>
      </c>
      <c r="N30" s="31">
        <v>2393.7353825144369</v>
      </c>
      <c r="O30" s="26" t="s">
        <v>121</v>
      </c>
    </row>
    <row r="31" spans="1:15" x14ac:dyDescent="0.2">
      <c r="A31" s="25"/>
      <c r="B31" s="28" t="s">
        <v>54</v>
      </c>
      <c r="C31" s="27">
        <f>C28</f>
        <v>1110.4255705113935</v>
      </c>
      <c r="D31" s="27">
        <f t="shared" ref="D31:J31" si="9">D28</f>
        <v>32535.460323877767</v>
      </c>
      <c r="E31" s="27">
        <f t="shared" si="9"/>
        <v>1300.2379512259863</v>
      </c>
      <c r="F31" s="27">
        <f t="shared" si="9"/>
        <v>12536.046124150695</v>
      </c>
      <c r="G31" s="27">
        <f t="shared" si="9"/>
        <v>18563.210935449635</v>
      </c>
      <c r="H31" s="27">
        <f t="shared" si="9"/>
        <v>2739.5436155195816</v>
      </c>
      <c r="I31" s="27">
        <f t="shared" si="9"/>
        <v>19572.088727385613</v>
      </c>
      <c r="J31" s="27">
        <f t="shared" si="9"/>
        <v>4145.7697962685361</v>
      </c>
      <c r="K31" s="31">
        <f>K28</f>
        <v>154.68525682295123</v>
      </c>
      <c r="L31" s="31">
        <f t="shared" ref="L31:N31" si="10">L28</f>
        <v>309.73642157779057</v>
      </c>
      <c r="M31" s="31">
        <f t="shared" si="10"/>
        <v>67626.084485372034</v>
      </c>
      <c r="N31" s="31">
        <f t="shared" si="10"/>
        <v>7187.3742114641664</v>
      </c>
      <c r="O31" s="26" t="s">
        <v>125</v>
      </c>
    </row>
    <row r="32" spans="1:15" x14ac:dyDescent="0.2">
      <c r="A32" s="25"/>
      <c r="B32" s="28" t="s">
        <v>55</v>
      </c>
      <c r="C32" s="27">
        <f>C28</f>
        <v>1110.4255705113935</v>
      </c>
      <c r="D32" s="27">
        <f t="shared" ref="D32:J32" si="11">D28</f>
        <v>32535.460323877767</v>
      </c>
      <c r="E32" s="27">
        <f t="shared" si="11"/>
        <v>1300.2379512259863</v>
      </c>
      <c r="F32" s="27">
        <f t="shared" si="11"/>
        <v>12536.046124150695</v>
      </c>
      <c r="G32" s="27">
        <f t="shared" si="11"/>
        <v>18563.210935449635</v>
      </c>
      <c r="H32" s="27">
        <f t="shared" si="11"/>
        <v>2739.5436155195816</v>
      </c>
      <c r="I32" s="27">
        <f t="shared" si="11"/>
        <v>19572.088727385613</v>
      </c>
      <c r="J32" s="27">
        <f t="shared" si="11"/>
        <v>4145.7697962685361</v>
      </c>
      <c r="K32" s="31">
        <f>K28</f>
        <v>154.68525682295123</v>
      </c>
      <c r="L32" s="31">
        <f t="shared" ref="L32:N32" si="12">L28</f>
        <v>309.73642157779057</v>
      </c>
      <c r="M32" s="31">
        <f t="shared" si="12"/>
        <v>67626.084485372034</v>
      </c>
      <c r="N32" s="31">
        <f t="shared" si="12"/>
        <v>7187.3742114641664</v>
      </c>
      <c r="O32" s="26" t="s">
        <v>125</v>
      </c>
    </row>
    <row r="33" spans="1:15" x14ac:dyDescent="0.2">
      <c r="A33" s="25"/>
      <c r="B33" s="28" t="s">
        <v>56</v>
      </c>
      <c r="C33" s="27">
        <f>C28</f>
        <v>1110.4255705113935</v>
      </c>
      <c r="D33" s="27">
        <f t="shared" ref="D33:J33" si="13">D28</f>
        <v>32535.460323877767</v>
      </c>
      <c r="E33" s="27">
        <f t="shared" si="13"/>
        <v>1300.2379512259863</v>
      </c>
      <c r="F33" s="27">
        <f t="shared" si="13"/>
        <v>12536.046124150695</v>
      </c>
      <c r="G33" s="27">
        <f t="shared" si="13"/>
        <v>18563.210935449635</v>
      </c>
      <c r="H33" s="27">
        <f t="shared" si="13"/>
        <v>2739.5436155195816</v>
      </c>
      <c r="I33" s="27">
        <f t="shared" si="13"/>
        <v>19572.088727385613</v>
      </c>
      <c r="J33" s="27">
        <f t="shared" si="13"/>
        <v>4145.7697962685361</v>
      </c>
      <c r="K33" s="31">
        <f>K28</f>
        <v>154.68525682295123</v>
      </c>
      <c r="L33" s="31">
        <f t="shared" ref="L33:N33" si="14">L28</f>
        <v>309.73642157779057</v>
      </c>
      <c r="M33" s="31">
        <f t="shared" si="14"/>
        <v>67626.084485372034</v>
      </c>
      <c r="N33" s="31">
        <f t="shared" si="14"/>
        <v>7187.3742114641664</v>
      </c>
      <c r="O33" s="26" t="s">
        <v>125</v>
      </c>
    </row>
    <row r="34" spans="1:15" x14ac:dyDescent="0.2">
      <c r="A34" s="25"/>
      <c r="B34" s="28" t="s">
        <v>57</v>
      </c>
      <c r="C34" s="27">
        <v>230.1700526211261</v>
      </c>
      <c r="D34" s="27">
        <v>4940.7974609075809</v>
      </c>
      <c r="E34" s="27">
        <v>831.54761882188313</v>
      </c>
      <c r="F34" s="27">
        <v>9974.4152302982438</v>
      </c>
      <c r="G34" s="27">
        <v>18506.676351824386</v>
      </c>
      <c r="H34" s="27">
        <v>1936.8738651127094</v>
      </c>
      <c r="I34" s="27">
        <v>22873.579767327737</v>
      </c>
      <c r="J34" s="27">
        <v>3698.046802866711</v>
      </c>
      <c r="K34" s="31">
        <v>33.216172929213485</v>
      </c>
      <c r="L34" s="31">
        <v>369.10141220791053</v>
      </c>
      <c r="M34" s="31">
        <v>14473.15970833167</v>
      </c>
      <c r="N34" s="31">
        <v>6367.6002965891439</v>
      </c>
      <c r="O34" s="26" t="s">
        <v>121</v>
      </c>
    </row>
    <row r="35" spans="1:15" x14ac:dyDescent="0.2">
      <c r="A35" s="25"/>
      <c r="B35" s="28" t="s">
        <v>58</v>
      </c>
      <c r="C35" s="27">
        <v>414.93015638154259</v>
      </c>
      <c r="D35" s="27">
        <v>776.67969803237168</v>
      </c>
      <c r="E35" s="27">
        <v>1834.0152799665407</v>
      </c>
      <c r="F35" s="27">
        <v>5036.0023199711341</v>
      </c>
      <c r="G35" s="27">
        <v>30812.113346887847</v>
      </c>
      <c r="H35" s="27">
        <v>3834.7378486197576</v>
      </c>
      <c r="I35" s="27">
        <v>31523.225790865876</v>
      </c>
      <c r="J35" s="27">
        <v>6091.8762772776936</v>
      </c>
      <c r="K35" s="31">
        <v>43.660000000000004</v>
      </c>
      <c r="L35" s="31">
        <v>5.3809688523690458</v>
      </c>
      <c r="M35" s="31">
        <v>24199.365799671734</v>
      </c>
      <c r="N35" s="31">
        <v>19925.02304466745</v>
      </c>
      <c r="O35" s="26" t="s">
        <v>121</v>
      </c>
    </row>
    <row r="36" spans="1:15" x14ac:dyDescent="0.2">
      <c r="A36" s="25"/>
      <c r="B36" s="28" t="s">
        <v>59</v>
      </c>
      <c r="C36" s="27">
        <f>C37</f>
        <v>299.82326860588654</v>
      </c>
      <c r="D36" s="27">
        <f t="shared" ref="D36:J36" si="15">D37</f>
        <v>3188.4062234797548</v>
      </c>
      <c r="E36" s="27">
        <f t="shared" si="15"/>
        <v>1017.0036814452408</v>
      </c>
      <c r="F36" s="27">
        <f t="shared" si="15"/>
        <v>6213.2990588589437</v>
      </c>
      <c r="G36" s="27">
        <f t="shared" si="15"/>
        <v>15346.707109579969</v>
      </c>
      <c r="H36" s="27">
        <f t="shared" si="15"/>
        <v>2674.9844466542863</v>
      </c>
      <c r="I36" s="27">
        <f t="shared" si="15"/>
        <v>26527.18956968225</v>
      </c>
      <c r="J36" s="27">
        <f t="shared" si="15"/>
        <v>5166.6762835188974</v>
      </c>
      <c r="K36" s="31">
        <f>K37</f>
        <v>35.590543001448083</v>
      </c>
      <c r="L36" s="31">
        <f t="shared" ref="L36:N36" si="16">L37</f>
        <v>38.25606376328259</v>
      </c>
      <c r="M36" s="31">
        <f t="shared" si="16"/>
        <v>28685.915764678477</v>
      </c>
      <c r="N36" s="31">
        <f t="shared" si="16"/>
        <v>5481.9039255558973</v>
      </c>
      <c r="O36" s="26" t="s">
        <v>126</v>
      </c>
    </row>
    <row r="37" spans="1:15" x14ac:dyDescent="0.2">
      <c r="A37" s="25"/>
      <c r="B37" s="28" t="s">
        <v>60</v>
      </c>
      <c r="C37" s="27">
        <v>299.82326860588654</v>
      </c>
      <c r="D37" s="27">
        <v>3188.4062234797548</v>
      </c>
      <c r="E37" s="27">
        <v>1017.0036814452408</v>
      </c>
      <c r="F37" s="27">
        <v>6213.2990588589437</v>
      </c>
      <c r="G37" s="27">
        <v>15346.707109579969</v>
      </c>
      <c r="H37" s="27">
        <v>2674.9844466542863</v>
      </c>
      <c r="I37" s="27">
        <v>26527.18956968225</v>
      </c>
      <c r="J37" s="27">
        <v>5166.6762835188974</v>
      </c>
      <c r="K37" s="31">
        <v>35.590543001448083</v>
      </c>
      <c r="L37" s="31">
        <v>38.25606376328259</v>
      </c>
      <c r="M37" s="31">
        <v>28685.915764678477</v>
      </c>
      <c r="N37" s="31">
        <v>5481.9039255558973</v>
      </c>
      <c r="O37" s="26" t="s">
        <v>127</v>
      </c>
    </row>
    <row r="38" spans="1:15" x14ac:dyDescent="0.2">
      <c r="A38" s="25"/>
      <c r="B38" s="28" t="s">
        <v>61</v>
      </c>
      <c r="C38" s="27">
        <v>343.50797614099019</v>
      </c>
      <c r="D38" s="27">
        <v>6278.8712994806419</v>
      </c>
      <c r="E38" s="27">
        <v>835.67735662489281</v>
      </c>
      <c r="F38" s="27">
        <v>3662.4619621037646</v>
      </c>
      <c r="G38" s="27">
        <v>17892.23945308644</v>
      </c>
      <c r="H38" s="27">
        <v>3332.2373391521242</v>
      </c>
      <c r="I38" s="27">
        <v>22608.453350466796</v>
      </c>
      <c r="J38" s="27">
        <v>4692.4747700899652</v>
      </c>
      <c r="K38" s="31">
        <v>19.029176865806026</v>
      </c>
      <c r="L38" s="31"/>
      <c r="M38" s="31">
        <v>70883</v>
      </c>
      <c r="N38" s="31"/>
      <c r="O38" s="26" t="s">
        <v>121</v>
      </c>
    </row>
    <row r="39" spans="1:15" x14ac:dyDescent="0.2">
      <c r="A39" s="25"/>
      <c r="B39" s="28" t="s">
        <v>62</v>
      </c>
      <c r="C39" s="27">
        <v>464.71831551212551</v>
      </c>
      <c r="D39" s="27">
        <v>4427.8427956457208</v>
      </c>
      <c r="E39" s="27">
        <v>724.77608517497106</v>
      </c>
      <c r="F39" s="27">
        <v>1121.8687186436844</v>
      </c>
      <c r="G39" s="27">
        <v>11118.340472949869</v>
      </c>
      <c r="H39" s="27">
        <v>2223.3916255348013</v>
      </c>
      <c r="I39" s="27">
        <v>14302.67269371486</v>
      </c>
      <c r="J39" s="27">
        <v>5017.5360043874634</v>
      </c>
      <c r="K39" s="31">
        <v>39.46993414492038</v>
      </c>
      <c r="L39" s="31">
        <v>267.04771762120168</v>
      </c>
      <c r="M39" s="31">
        <v>7667.6490855115399</v>
      </c>
      <c r="N39" s="31">
        <v>1220.8562917095846</v>
      </c>
      <c r="O39" s="26" t="s">
        <v>121</v>
      </c>
    </row>
    <row r="40" spans="1:15" x14ac:dyDescent="0.2">
      <c r="A40" s="25"/>
      <c r="B40" s="28" t="s">
        <v>63</v>
      </c>
      <c r="C40" s="27">
        <v>388.67026245293994</v>
      </c>
      <c r="D40" s="27">
        <v>7280.6039126936112</v>
      </c>
      <c r="E40" s="27">
        <v>672.62841520433392</v>
      </c>
      <c r="F40" s="27">
        <v>3354.553304343468</v>
      </c>
      <c r="G40" s="27">
        <v>18604.664687163193</v>
      </c>
      <c r="H40" s="27">
        <v>2734.0696178032849</v>
      </c>
      <c r="I40" s="27">
        <v>30174.606493953004</v>
      </c>
      <c r="J40" s="27">
        <v>6422.2471692804529</v>
      </c>
      <c r="K40" s="31">
        <v>5</v>
      </c>
      <c r="L40" s="31"/>
      <c r="M40" s="31">
        <v>47294</v>
      </c>
      <c r="N40" s="31"/>
      <c r="O40" s="26" t="s">
        <v>121</v>
      </c>
    </row>
    <row r="41" spans="1:15" x14ac:dyDescent="0.2">
      <c r="A41" s="25"/>
      <c r="B41" s="28" t="s">
        <v>64</v>
      </c>
      <c r="C41" s="27">
        <v>100.65092234070009</v>
      </c>
      <c r="D41" s="27">
        <v>2191.341803877548</v>
      </c>
      <c r="E41" s="27">
        <v>365.80312815342404</v>
      </c>
      <c r="F41" s="27">
        <v>3587.2036955437234</v>
      </c>
      <c r="G41" s="27">
        <v>15647.955577841481</v>
      </c>
      <c r="H41" s="27">
        <v>4113.3756750562316</v>
      </c>
      <c r="I41" s="27">
        <v>25302.470369466148</v>
      </c>
      <c r="J41" s="27">
        <v>10883.699035304568</v>
      </c>
      <c r="K41" s="31">
        <v>6.7141039633625361</v>
      </c>
      <c r="L41" s="31">
        <v>33.532243413320771</v>
      </c>
      <c r="M41" s="31">
        <v>24054.932302388803</v>
      </c>
      <c r="N41" s="31">
        <v>2569.7198421730191</v>
      </c>
      <c r="O41" s="26" t="s">
        <v>121</v>
      </c>
    </row>
    <row r="42" spans="1:15" x14ac:dyDescent="0.2">
      <c r="A42" s="25"/>
      <c r="B42" s="28" t="s">
        <v>65</v>
      </c>
      <c r="C42" s="27">
        <v>255.57669489900749</v>
      </c>
      <c r="D42" s="27">
        <v>4389.8791496362401</v>
      </c>
      <c r="E42" s="27">
        <v>943.14600847632732</v>
      </c>
      <c r="F42" s="27">
        <v>5098.5056594016287</v>
      </c>
      <c r="G42" s="27">
        <v>15600.13328196363</v>
      </c>
      <c r="H42" s="27">
        <v>2633.4718365130639</v>
      </c>
      <c r="I42" s="27">
        <v>24733.0483500234</v>
      </c>
      <c r="J42" s="27">
        <v>6492.6468547575396</v>
      </c>
      <c r="K42" s="31">
        <v>20.577498215950172</v>
      </c>
      <c r="L42" s="31">
        <v>12.589974777901585</v>
      </c>
      <c r="M42" s="31">
        <v>49113.018766463007</v>
      </c>
      <c r="N42" s="31">
        <v>1432.8860082485833</v>
      </c>
      <c r="O42" s="26" t="s">
        <v>121</v>
      </c>
    </row>
    <row r="43" spans="1:15" x14ac:dyDescent="0.2">
      <c r="A43" s="25"/>
      <c r="B43" s="28" t="s">
        <v>66</v>
      </c>
      <c r="C43" s="27">
        <v>454.95674066839126</v>
      </c>
      <c r="D43" s="27">
        <v>7854.2164509875383</v>
      </c>
      <c r="E43" s="27">
        <v>1300.2975758836915</v>
      </c>
      <c r="F43" s="27">
        <v>2202.4212493242162</v>
      </c>
      <c r="G43" s="27">
        <v>18033.238379895625</v>
      </c>
      <c r="H43" s="27">
        <v>3448.3498405936325</v>
      </c>
      <c r="I43" s="27">
        <v>31371.434478512438</v>
      </c>
      <c r="J43" s="27">
        <v>9965.0850471567846</v>
      </c>
      <c r="K43" s="31">
        <v>72.189531282112455</v>
      </c>
      <c r="L43" s="31"/>
      <c r="M43" s="31">
        <v>26786.351181313959</v>
      </c>
      <c r="N43" s="31"/>
      <c r="O43" s="26" t="s">
        <v>122</v>
      </c>
    </row>
    <row r="44" spans="1:15" x14ac:dyDescent="0.2">
      <c r="A44" s="25"/>
      <c r="B44" s="28" t="s">
        <v>67</v>
      </c>
      <c r="C44" s="27">
        <f>C43</f>
        <v>454.95674066839126</v>
      </c>
      <c r="D44" s="27">
        <f t="shared" ref="D44:J44" si="17">D43</f>
        <v>7854.2164509875383</v>
      </c>
      <c r="E44" s="27">
        <f t="shared" si="17"/>
        <v>1300.2975758836915</v>
      </c>
      <c r="F44" s="27">
        <f t="shared" si="17"/>
        <v>2202.4212493242162</v>
      </c>
      <c r="G44" s="27">
        <f t="shared" si="17"/>
        <v>18033.238379895625</v>
      </c>
      <c r="H44" s="27">
        <f t="shared" si="17"/>
        <v>3448.3498405936325</v>
      </c>
      <c r="I44" s="27">
        <f t="shared" si="17"/>
        <v>31371.434478512438</v>
      </c>
      <c r="J44" s="27">
        <f t="shared" si="17"/>
        <v>9965.0850471567846</v>
      </c>
      <c r="K44" s="31">
        <f>K43</f>
        <v>72.189531282112455</v>
      </c>
      <c r="L44" s="31"/>
      <c r="M44" s="31">
        <f t="shared" ref="M44:N44" si="18">M43</f>
        <v>26786.351181313959</v>
      </c>
      <c r="N44" s="31">
        <f t="shared" si="18"/>
        <v>0</v>
      </c>
      <c r="O44" s="26" t="s">
        <v>128</v>
      </c>
    </row>
    <row r="45" spans="1:15" x14ac:dyDescent="0.2">
      <c r="A45" s="25"/>
      <c r="B45" s="28" t="s">
        <v>68</v>
      </c>
      <c r="C45" s="27">
        <v>1578.8039332676658</v>
      </c>
      <c r="D45" s="27">
        <v>41943.527767179818</v>
      </c>
      <c r="E45" s="27">
        <v>3151.2756177424794</v>
      </c>
      <c r="F45" s="27">
        <v>29469.613172214034</v>
      </c>
      <c r="G45" s="27">
        <v>21752.732130850669</v>
      </c>
      <c r="H45" s="27">
        <v>4689.9542328016423</v>
      </c>
      <c r="I45" s="27">
        <v>38111.919994580065</v>
      </c>
      <c r="J45" s="27">
        <v>8935.1629440211891</v>
      </c>
      <c r="K45" s="31">
        <v>999.43162121263254</v>
      </c>
      <c r="L45" s="31">
        <v>1740.3739468874171</v>
      </c>
      <c r="M45" s="31">
        <v>64347.631925831949</v>
      </c>
      <c r="N45" s="31">
        <v>11873.241105644496</v>
      </c>
      <c r="O45" s="26" t="s">
        <v>122</v>
      </c>
    </row>
    <row r="46" spans="1:15" x14ac:dyDescent="0.2">
      <c r="A46" s="25"/>
      <c r="B46" s="28" t="s">
        <v>69</v>
      </c>
      <c r="C46" s="27">
        <v>159.38782283914131</v>
      </c>
      <c r="D46" s="27">
        <v>1961.3821189140576</v>
      </c>
      <c r="E46" s="27">
        <v>603.99639852745486</v>
      </c>
      <c r="F46" s="27">
        <v>8089.2541071844826</v>
      </c>
      <c r="G46" s="27">
        <v>16064.890252163128</v>
      </c>
      <c r="H46" s="27">
        <v>6552.9905232773472</v>
      </c>
      <c r="I46" s="27">
        <v>21810.786102598602</v>
      </c>
      <c r="J46" s="27">
        <v>12717.615460190393</v>
      </c>
      <c r="K46" s="31">
        <v>9.4790233894139835</v>
      </c>
      <c r="L46" s="31">
        <v>73.479455952638332</v>
      </c>
      <c r="M46" s="31">
        <v>34218.968269123936</v>
      </c>
      <c r="N46" s="31">
        <v>8660.2253686846179</v>
      </c>
      <c r="O46" s="26" t="s">
        <v>121</v>
      </c>
    </row>
    <row r="47" spans="1:15" x14ac:dyDescent="0.2">
      <c r="A47" s="25"/>
      <c r="B47" s="28" t="s">
        <v>70</v>
      </c>
      <c r="C47" s="27">
        <v>725.76378382264579</v>
      </c>
      <c r="D47" s="27">
        <v>4781.1118259677905</v>
      </c>
      <c r="E47" s="27">
        <v>2272.9432702023546</v>
      </c>
      <c r="F47" s="27">
        <v>4263.9653019747129</v>
      </c>
      <c r="G47" s="27">
        <v>23177.457005336917</v>
      </c>
      <c r="H47" s="27">
        <v>7055.3888798060716</v>
      </c>
      <c r="I47" s="27">
        <v>42267.742655786606</v>
      </c>
      <c r="J47" s="27">
        <v>11268.614663075861</v>
      </c>
      <c r="K47" s="31">
        <v>394.00771741551341</v>
      </c>
      <c r="L47" s="31">
        <v>297.02312534456223</v>
      </c>
      <c r="M47" s="31">
        <v>29460.850520943088</v>
      </c>
      <c r="N47" s="31">
        <v>8958.5931867424497</v>
      </c>
      <c r="O47" s="26" t="s">
        <v>122</v>
      </c>
    </row>
    <row r="48" spans="1:15" x14ac:dyDescent="0.2">
      <c r="A48" s="25"/>
      <c r="B48" s="28" t="s">
        <v>71</v>
      </c>
      <c r="C48" s="27">
        <v>841.34256322663168</v>
      </c>
      <c r="D48" s="27">
        <v>10270.381106844374</v>
      </c>
      <c r="E48" s="27">
        <v>2449.3823731292259</v>
      </c>
      <c r="F48" s="27">
        <v>6436.8534113419555</v>
      </c>
      <c r="G48" s="27">
        <v>12977.717000181035</v>
      </c>
      <c r="H48" s="27">
        <v>3902.5472860776672</v>
      </c>
      <c r="I48" s="27">
        <v>32398.165905071153</v>
      </c>
      <c r="J48" s="27">
        <v>10070.737682824652</v>
      </c>
      <c r="K48" s="31">
        <v>423.82029054538907</v>
      </c>
      <c r="L48" s="31">
        <v>92.974125391880335</v>
      </c>
      <c r="M48" s="31">
        <v>22165.434882130103</v>
      </c>
      <c r="N48" s="31">
        <v>4936.0203091563917</v>
      </c>
      <c r="O48" s="26" t="s">
        <v>122</v>
      </c>
    </row>
    <row r="49" spans="1:15" x14ac:dyDescent="0.2">
      <c r="A49" s="25"/>
      <c r="B49" s="28" t="s">
        <v>72</v>
      </c>
      <c r="C49" s="27">
        <v>470.97489282919264</v>
      </c>
      <c r="D49" s="27">
        <v>7153.3982772903692</v>
      </c>
      <c r="E49" s="27">
        <v>1881.7003887448373</v>
      </c>
      <c r="F49" s="27">
        <v>5354.3092493484201</v>
      </c>
      <c r="G49" s="27">
        <v>16978.25695173072</v>
      </c>
      <c r="H49" s="27">
        <v>2978.0619851406645</v>
      </c>
      <c r="I49" s="27">
        <v>22863.551718419469</v>
      </c>
      <c r="J49" s="27">
        <v>4105.9299499168783</v>
      </c>
      <c r="K49" s="31">
        <v>82.849663766795317</v>
      </c>
      <c r="L49" s="31">
        <v>29.751953847512436</v>
      </c>
      <c r="M49" s="31">
        <v>28335.888754033978</v>
      </c>
      <c r="N49" s="31">
        <v>4238.1694883902474</v>
      </c>
      <c r="O49" s="26" t="s">
        <v>121</v>
      </c>
    </row>
    <row r="50" spans="1:15" x14ac:dyDescent="0.2">
      <c r="A50" s="25"/>
      <c r="B50" s="28" t="s">
        <v>73</v>
      </c>
      <c r="C50" s="27">
        <v>434.55076539964119</v>
      </c>
      <c r="D50" s="27">
        <v>7239.9032300652398</v>
      </c>
      <c r="E50" s="27">
        <v>942.1003333245153</v>
      </c>
      <c r="F50" s="27">
        <v>4167.8654140740764</v>
      </c>
      <c r="G50" s="27">
        <v>13733.78073666367</v>
      </c>
      <c r="H50" s="27">
        <v>4114.9322698509432</v>
      </c>
      <c r="I50" s="27">
        <v>24207.985754999161</v>
      </c>
      <c r="J50" s="27">
        <v>7796.5574339063905</v>
      </c>
      <c r="K50" s="31">
        <v>119.42147141869143</v>
      </c>
      <c r="L50" s="31">
        <v>126.94888979527744</v>
      </c>
      <c r="M50" s="31">
        <v>28176.577387855192</v>
      </c>
      <c r="N50" s="31">
        <v>10063.298064364666</v>
      </c>
      <c r="O50" s="26" t="s">
        <v>127</v>
      </c>
    </row>
    <row r="51" spans="1:15" x14ac:dyDescent="0.2">
      <c r="A51" s="25"/>
      <c r="B51" s="28" t="s">
        <v>74</v>
      </c>
      <c r="C51" s="27">
        <v>677.31989156029124</v>
      </c>
      <c r="D51" s="27">
        <v>7919.2366652471765</v>
      </c>
      <c r="E51" s="27">
        <v>1256.0966479662877</v>
      </c>
      <c r="F51" s="27">
        <v>1255.3756433091951</v>
      </c>
      <c r="G51" s="27">
        <v>19292.764738375648</v>
      </c>
      <c r="H51" s="27">
        <v>2890.5774248555249</v>
      </c>
      <c r="I51" s="27">
        <v>30158.817351066486</v>
      </c>
      <c r="J51" s="27">
        <v>5429.0477842292266</v>
      </c>
      <c r="K51" s="31">
        <v>25.135683188292347</v>
      </c>
      <c r="L51" s="31">
        <v>19.45306392543004</v>
      </c>
      <c r="M51" s="31">
        <v>56354.123688424945</v>
      </c>
      <c r="N51" s="31">
        <v>9196.8619551047759</v>
      </c>
      <c r="O51" s="26" t="s">
        <v>121</v>
      </c>
    </row>
    <row r="52" spans="1:15" x14ac:dyDescent="0.2">
      <c r="A52" s="25"/>
      <c r="B52" s="28" t="s">
        <v>75</v>
      </c>
      <c r="C52" s="27">
        <f>C51</f>
        <v>677.31989156029124</v>
      </c>
      <c r="D52" s="27">
        <f>D51</f>
        <v>7919.2366652471765</v>
      </c>
      <c r="E52" s="27">
        <f>E51</f>
        <v>1256.0966479662877</v>
      </c>
      <c r="F52" s="27">
        <f>F51</f>
        <v>1255.3756433091951</v>
      </c>
      <c r="G52" s="27">
        <f t="shared" ref="G52:J52" si="19">G51</f>
        <v>19292.764738375648</v>
      </c>
      <c r="H52" s="27">
        <f t="shared" si="19"/>
        <v>2890.5774248555249</v>
      </c>
      <c r="I52" s="27">
        <f t="shared" si="19"/>
        <v>30158.817351066486</v>
      </c>
      <c r="J52" s="27">
        <f t="shared" si="19"/>
        <v>5429.0477842292266</v>
      </c>
      <c r="K52" s="31">
        <f>K51</f>
        <v>25.135683188292347</v>
      </c>
      <c r="L52" s="31">
        <f t="shared" ref="L52:N52" si="20">L51</f>
        <v>19.45306392543004</v>
      </c>
      <c r="M52" s="31">
        <f t="shared" si="20"/>
        <v>56354.123688424945</v>
      </c>
      <c r="N52" s="31">
        <f t="shared" si="20"/>
        <v>9196.8619551047759</v>
      </c>
      <c r="O52" s="26" t="s">
        <v>129</v>
      </c>
    </row>
  </sheetData>
  <mergeCells count="14">
    <mergeCell ref="B2:B5"/>
    <mergeCell ref="C2:J2"/>
    <mergeCell ref="O2:O5"/>
    <mergeCell ref="K2:N2"/>
    <mergeCell ref="M3:N3"/>
    <mergeCell ref="C4:D4"/>
    <mergeCell ref="E4:F4"/>
    <mergeCell ref="G4:H4"/>
    <mergeCell ref="I4:J4"/>
    <mergeCell ref="K4:L4"/>
    <mergeCell ref="M4:N4"/>
    <mergeCell ref="C3:F3"/>
    <mergeCell ref="G3:J3"/>
    <mergeCell ref="K3:L3"/>
  </mergeCells>
  <phoneticPr fontId="3"/>
  <printOptions horizontalCentered="1"/>
  <pageMargins left="0.78740157480314965" right="0.78740157480314965" top="0.78740157480314965" bottom="0.19685039370078741" header="0.51181102362204722" footer="0.51181102362204722"/>
  <pageSetup paperSize="9" scale="74" firstPageNumber="0"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5C107-ACEE-440A-97B0-9A56AA13A936}">
  <dimension ref="B2:R62"/>
  <sheetViews>
    <sheetView showGridLines="0" zoomScaleNormal="100" workbookViewId="0"/>
  </sheetViews>
  <sheetFormatPr defaultColWidth="7.140625" defaultRowHeight="12" x14ac:dyDescent="0.2"/>
  <cols>
    <col min="1" max="3" width="7.140625" style="34"/>
    <col min="4" max="10" width="7.140625" style="35"/>
    <col min="11" max="16384" width="7.140625" style="34"/>
  </cols>
  <sheetData>
    <row r="2" spans="2:18" x14ac:dyDescent="0.2">
      <c r="J2" s="36"/>
      <c r="R2" s="37" t="s">
        <v>139</v>
      </c>
    </row>
    <row r="3" spans="2:18" x14ac:dyDescent="0.2">
      <c r="B3" s="190" t="s">
        <v>136</v>
      </c>
      <c r="C3" s="190" t="s">
        <v>150</v>
      </c>
      <c r="D3" s="190"/>
      <c r="E3" s="190"/>
      <c r="F3" s="190"/>
      <c r="G3" s="190"/>
      <c r="H3" s="190"/>
      <c r="I3" s="190"/>
      <c r="J3" s="190"/>
      <c r="K3" s="190" t="s">
        <v>151</v>
      </c>
      <c r="L3" s="190"/>
      <c r="M3" s="190"/>
      <c r="N3" s="190"/>
      <c r="O3" s="190"/>
      <c r="P3" s="190"/>
      <c r="Q3" s="190"/>
      <c r="R3" s="190"/>
    </row>
    <row r="4" spans="2:18" x14ac:dyDescent="0.2">
      <c r="B4" s="190"/>
      <c r="C4" s="191" t="s">
        <v>146</v>
      </c>
      <c r="D4" s="192" t="s">
        <v>130</v>
      </c>
      <c r="E4" s="192"/>
      <c r="F4" s="192"/>
      <c r="G4" s="192"/>
      <c r="H4" s="192"/>
      <c r="I4" s="192"/>
      <c r="J4" s="192"/>
      <c r="K4" s="191" t="s">
        <v>146</v>
      </c>
      <c r="L4" s="190" t="s">
        <v>130</v>
      </c>
      <c r="M4" s="190"/>
      <c r="N4" s="190"/>
      <c r="O4" s="190"/>
      <c r="P4" s="190"/>
      <c r="Q4" s="190"/>
      <c r="R4" s="190"/>
    </row>
    <row r="5" spans="2:18" x14ac:dyDescent="0.2">
      <c r="B5" s="190"/>
      <c r="C5" s="190"/>
      <c r="D5" s="49" t="s">
        <v>147</v>
      </c>
      <c r="E5" s="50" t="s">
        <v>131</v>
      </c>
      <c r="F5" s="50" t="s">
        <v>132</v>
      </c>
      <c r="G5" s="50" t="s">
        <v>133</v>
      </c>
      <c r="H5" s="50" t="s">
        <v>148</v>
      </c>
      <c r="I5" s="50" t="s">
        <v>134</v>
      </c>
      <c r="J5" s="50" t="s">
        <v>135</v>
      </c>
      <c r="K5" s="190"/>
      <c r="L5" s="51" t="s">
        <v>149</v>
      </c>
      <c r="M5" s="49" t="s">
        <v>131</v>
      </c>
      <c r="N5" s="49" t="s">
        <v>132</v>
      </c>
      <c r="O5" s="49" t="s">
        <v>133</v>
      </c>
      <c r="P5" s="49" t="s">
        <v>148</v>
      </c>
      <c r="Q5" s="49" t="s">
        <v>134</v>
      </c>
      <c r="R5" s="49" t="s">
        <v>135</v>
      </c>
    </row>
    <row r="6" spans="2:18" x14ac:dyDescent="0.2">
      <c r="B6" s="26" t="s">
        <v>29</v>
      </c>
      <c r="C6" s="53">
        <v>3.5979999999999999</v>
      </c>
      <c r="D6" s="53">
        <v>0.55800000000000005</v>
      </c>
      <c r="E6" s="53">
        <v>0.81599999999999995</v>
      </c>
      <c r="F6" s="53">
        <v>0.66</v>
      </c>
      <c r="G6" s="53">
        <v>0.61299999999999999</v>
      </c>
      <c r="H6" s="53">
        <v>0.25600000000000001</v>
      </c>
      <c r="I6" s="53">
        <v>0.68200000000000005</v>
      </c>
      <c r="J6" s="53">
        <v>1.2E-2</v>
      </c>
      <c r="K6" s="53">
        <v>14.789899999999999</v>
      </c>
      <c r="L6" s="53">
        <v>1.7233000000000001</v>
      </c>
      <c r="M6" s="53">
        <v>5.1327999999999996</v>
      </c>
      <c r="N6" s="53">
        <v>2.9979</v>
      </c>
      <c r="O6" s="53">
        <v>0.44740000000000002</v>
      </c>
      <c r="P6" s="53">
        <v>1.1397999999999999</v>
      </c>
      <c r="Q6" s="53">
        <v>3.3418000000000001</v>
      </c>
      <c r="R6" s="53">
        <v>7.0000000000000001E-3</v>
      </c>
    </row>
    <row r="7" spans="2:18" x14ac:dyDescent="0.2">
      <c r="B7" s="28" t="s">
        <v>30</v>
      </c>
      <c r="C7" s="53">
        <v>2.61</v>
      </c>
      <c r="D7" s="53">
        <v>0.38400000000000001</v>
      </c>
      <c r="E7" s="53">
        <v>0.65700000000000003</v>
      </c>
      <c r="F7" s="53">
        <v>0.376</v>
      </c>
      <c r="G7" s="53">
        <v>0.58299999999999996</v>
      </c>
      <c r="H7" s="53">
        <v>0.10299999999999999</v>
      </c>
      <c r="I7" s="53">
        <v>0.495</v>
      </c>
      <c r="J7" s="53">
        <v>1.2999999999999999E-2</v>
      </c>
      <c r="K7" s="53">
        <v>5.5321999999999996</v>
      </c>
      <c r="L7" s="53">
        <v>1.1677999999999999</v>
      </c>
      <c r="M7" s="53">
        <v>1.5165999999999999</v>
      </c>
      <c r="N7" s="53">
        <v>1.2056</v>
      </c>
      <c r="O7" s="53">
        <v>0.1744</v>
      </c>
      <c r="P7" s="53">
        <v>0.58199999999999996</v>
      </c>
      <c r="Q7" s="53">
        <v>0.88529999999999998</v>
      </c>
      <c r="R7" s="53">
        <v>5.0000000000000001E-4</v>
      </c>
    </row>
    <row r="8" spans="2:18" x14ac:dyDescent="0.2">
      <c r="B8" s="28" t="s">
        <v>31</v>
      </c>
      <c r="C8" s="53">
        <v>1.39</v>
      </c>
      <c r="D8" s="53">
        <v>0.14000000000000001</v>
      </c>
      <c r="E8" s="53">
        <v>0.46</v>
      </c>
      <c r="F8" s="53">
        <v>0.153</v>
      </c>
      <c r="G8" s="53">
        <v>0.25700000000000001</v>
      </c>
      <c r="H8" s="53">
        <v>9.5000000000000001E-2</v>
      </c>
      <c r="I8" s="53">
        <v>0.27700000000000002</v>
      </c>
      <c r="J8" s="53">
        <v>7.0000000000000001E-3</v>
      </c>
      <c r="K8" s="53">
        <v>6.5823999999999998</v>
      </c>
      <c r="L8" s="53">
        <v>1.9409000000000001</v>
      </c>
      <c r="M8" s="53">
        <v>2.2284999999999999</v>
      </c>
      <c r="N8" s="53">
        <v>1.1137999999999999</v>
      </c>
      <c r="O8" s="53">
        <v>3.7199999999999997E-2</v>
      </c>
      <c r="P8" s="53">
        <v>0.71850000000000003</v>
      </c>
      <c r="Q8" s="53">
        <v>0.54349999999999998</v>
      </c>
      <c r="R8" s="53">
        <v>0</v>
      </c>
    </row>
    <row r="9" spans="2:18" x14ac:dyDescent="0.2">
      <c r="B9" s="28" t="s">
        <v>32</v>
      </c>
      <c r="C9" s="53">
        <v>2.1269999999999998</v>
      </c>
      <c r="D9" s="53">
        <v>8.6999999999999994E-2</v>
      </c>
      <c r="E9" s="53">
        <v>0.83499999999999996</v>
      </c>
      <c r="F9" s="53">
        <v>0.34699999999999998</v>
      </c>
      <c r="G9" s="53">
        <v>0.35399999999999998</v>
      </c>
      <c r="H9" s="53">
        <v>0.112</v>
      </c>
      <c r="I9" s="53">
        <v>0.39100000000000001</v>
      </c>
      <c r="J9" s="53">
        <v>1E-3</v>
      </c>
      <c r="K9" s="53">
        <v>4.5873999999999997</v>
      </c>
      <c r="L9" s="53">
        <v>0.72260000000000002</v>
      </c>
      <c r="M9" s="53">
        <v>1.3237000000000001</v>
      </c>
      <c r="N9" s="53">
        <v>0.83350000000000002</v>
      </c>
      <c r="O9" s="53">
        <v>7.6600000000000001E-2</v>
      </c>
      <c r="P9" s="53">
        <v>0.14000000000000001</v>
      </c>
      <c r="Q9" s="53">
        <v>1.4879</v>
      </c>
      <c r="R9" s="53">
        <v>3.0999999999999999E-3</v>
      </c>
    </row>
    <row r="10" spans="2:18" x14ac:dyDescent="0.2">
      <c r="B10" s="28" t="s">
        <v>33</v>
      </c>
      <c r="C10" s="53">
        <v>1.4570000000000001</v>
      </c>
      <c r="D10" s="53">
        <v>7.4999999999999997E-2</v>
      </c>
      <c r="E10" s="53">
        <v>0.38800000000000001</v>
      </c>
      <c r="F10" s="53">
        <v>0.223</v>
      </c>
      <c r="G10" s="53">
        <v>0.32900000000000001</v>
      </c>
      <c r="H10" s="53">
        <v>6.9000000000000006E-2</v>
      </c>
      <c r="I10" s="53">
        <v>0.371</v>
      </c>
      <c r="J10" s="53">
        <v>3.0000000000000001E-3</v>
      </c>
      <c r="K10" s="53">
        <v>3.3317999999999999</v>
      </c>
      <c r="L10" s="53">
        <v>0.31109999999999999</v>
      </c>
      <c r="M10" s="53">
        <v>1.389</v>
      </c>
      <c r="N10" s="53">
        <v>0.9526</v>
      </c>
      <c r="O10" s="53">
        <v>6.3299999999999995E-2</v>
      </c>
      <c r="P10" s="53">
        <v>8.5199999999999998E-2</v>
      </c>
      <c r="Q10" s="53">
        <v>0.53059999999999996</v>
      </c>
      <c r="R10" s="53">
        <v>0</v>
      </c>
    </row>
    <row r="11" spans="2:18" x14ac:dyDescent="0.2">
      <c r="B11" s="28" t="s">
        <v>34</v>
      </c>
      <c r="C11" s="53">
        <v>2.16</v>
      </c>
      <c r="D11" s="53">
        <v>0.27800000000000002</v>
      </c>
      <c r="E11" s="53">
        <v>0.60399999999999998</v>
      </c>
      <c r="F11" s="53">
        <v>0.26100000000000001</v>
      </c>
      <c r="G11" s="53">
        <v>0.35499999999999998</v>
      </c>
      <c r="H11" s="53">
        <v>0.11899999999999999</v>
      </c>
      <c r="I11" s="53">
        <v>0.52</v>
      </c>
      <c r="J11" s="53">
        <v>2.3E-2</v>
      </c>
      <c r="K11" s="53">
        <v>5.4955999999999996</v>
      </c>
      <c r="L11" s="53">
        <v>0.71640000000000004</v>
      </c>
      <c r="M11" s="53">
        <v>2.3355000000000001</v>
      </c>
      <c r="N11" s="53">
        <v>1.0901000000000001</v>
      </c>
      <c r="O11" s="53">
        <v>6.7599999999999993E-2</v>
      </c>
      <c r="P11" s="53">
        <v>0.85570000000000002</v>
      </c>
      <c r="Q11" s="53">
        <v>0.4294</v>
      </c>
      <c r="R11" s="53">
        <v>8.9999999999999998E-4</v>
      </c>
    </row>
    <row r="12" spans="2:18" x14ac:dyDescent="0.2">
      <c r="B12" s="28" t="s">
        <v>35</v>
      </c>
      <c r="C12" s="53">
        <v>2.242</v>
      </c>
      <c r="D12" s="53">
        <v>0.20399999999999999</v>
      </c>
      <c r="E12" s="53">
        <v>0.85099999999999998</v>
      </c>
      <c r="F12" s="53">
        <v>0.22600000000000001</v>
      </c>
      <c r="G12" s="53">
        <v>0.41799999999999998</v>
      </c>
      <c r="H12" s="53">
        <v>0.16900000000000001</v>
      </c>
      <c r="I12" s="53">
        <v>0.374</v>
      </c>
      <c r="J12" s="53">
        <v>1E-3</v>
      </c>
      <c r="K12" s="53">
        <v>3.2143000000000002</v>
      </c>
      <c r="L12" s="53">
        <v>0.91400000000000003</v>
      </c>
      <c r="M12" s="53">
        <v>0.94650000000000001</v>
      </c>
      <c r="N12" s="53">
        <v>0.73970000000000002</v>
      </c>
      <c r="O12" s="53">
        <v>5.4399999999999997E-2</v>
      </c>
      <c r="P12" s="53">
        <v>0.22539999999999999</v>
      </c>
      <c r="Q12" s="53">
        <v>0.33150000000000002</v>
      </c>
      <c r="R12" s="53">
        <v>2.8E-3</v>
      </c>
    </row>
    <row r="13" spans="2:18" x14ac:dyDescent="0.2">
      <c r="B13" s="28" t="s">
        <v>36</v>
      </c>
      <c r="C13" s="53">
        <v>1.472</v>
      </c>
      <c r="D13" s="53">
        <v>1.9E-2</v>
      </c>
      <c r="E13" s="53">
        <v>0.247</v>
      </c>
      <c r="F13" s="53">
        <v>0.21</v>
      </c>
      <c r="G13" s="53">
        <v>0.441</v>
      </c>
      <c r="H13" s="53">
        <v>0.20899999999999999</v>
      </c>
      <c r="I13" s="53">
        <v>0.34200000000000003</v>
      </c>
      <c r="J13" s="53">
        <v>5.0000000000000001E-3</v>
      </c>
      <c r="K13" s="53">
        <v>3.7709999999999999</v>
      </c>
      <c r="L13" s="53">
        <v>3.4299999999999997E-2</v>
      </c>
      <c r="M13" s="53">
        <v>0.71460000000000001</v>
      </c>
      <c r="N13" s="53">
        <v>1.2444999999999999</v>
      </c>
      <c r="O13" s="53">
        <v>0.1085</v>
      </c>
      <c r="P13" s="53">
        <v>1.54E-2</v>
      </c>
      <c r="Q13" s="53">
        <v>1.6184000000000001</v>
      </c>
      <c r="R13" s="53">
        <v>3.5299999999999998E-2</v>
      </c>
    </row>
    <row r="14" spans="2:18" s="35" customFormat="1" x14ac:dyDescent="0.2">
      <c r="B14" s="28" t="s">
        <v>37</v>
      </c>
      <c r="C14" s="53">
        <v>2.2709999999999999</v>
      </c>
      <c r="D14" s="53">
        <v>6.4000000000000001E-2</v>
      </c>
      <c r="E14" s="53">
        <v>0.67500000000000004</v>
      </c>
      <c r="F14" s="53">
        <v>0.35399999999999998</v>
      </c>
      <c r="G14" s="53">
        <v>0.49</v>
      </c>
      <c r="H14" s="53">
        <v>0.29599999999999999</v>
      </c>
      <c r="I14" s="53">
        <v>0.39200000000000002</v>
      </c>
      <c r="J14" s="53">
        <v>1E-3</v>
      </c>
      <c r="K14" s="53">
        <v>1.7472000000000001</v>
      </c>
      <c r="L14" s="53">
        <v>0.16769999999999999</v>
      </c>
      <c r="M14" s="53">
        <v>0.58030000000000004</v>
      </c>
      <c r="N14" s="53">
        <v>0.58230000000000004</v>
      </c>
      <c r="O14" s="53">
        <v>3.9100000000000003E-2</v>
      </c>
      <c r="P14" s="53">
        <v>0.14630000000000001</v>
      </c>
      <c r="Q14" s="53">
        <v>0.23080000000000001</v>
      </c>
      <c r="R14" s="53">
        <v>8.0000000000000004E-4</v>
      </c>
    </row>
    <row r="15" spans="2:18" s="35" customFormat="1" x14ac:dyDescent="0.2">
      <c r="B15" s="28" t="s">
        <v>38</v>
      </c>
      <c r="C15" s="53">
        <v>2.3460000000000001</v>
      </c>
      <c r="D15" s="53">
        <v>0.113</v>
      </c>
      <c r="E15" s="53">
        <v>0.89700000000000002</v>
      </c>
      <c r="F15" s="53">
        <v>0.318</v>
      </c>
      <c r="G15" s="53">
        <v>0.48899999999999999</v>
      </c>
      <c r="H15" s="53">
        <v>0.191</v>
      </c>
      <c r="I15" s="53">
        <v>0.33700000000000002</v>
      </c>
      <c r="J15" s="53">
        <v>1E-3</v>
      </c>
      <c r="K15" s="53">
        <v>3.8127</v>
      </c>
      <c r="L15" s="53">
        <v>0.26090000000000002</v>
      </c>
      <c r="M15" s="53">
        <v>1.4959</v>
      </c>
      <c r="N15" s="53">
        <v>0.95569999999999999</v>
      </c>
      <c r="O15" s="53">
        <v>5.2200000000000003E-2</v>
      </c>
      <c r="P15" s="53">
        <v>0.49580000000000002</v>
      </c>
      <c r="Q15" s="53">
        <v>0.55210000000000004</v>
      </c>
      <c r="R15" s="53">
        <v>0</v>
      </c>
    </row>
    <row r="16" spans="2:18" s="35" customFormat="1" x14ac:dyDescent="0.2">
      <c r="B16" s="28" t="s">
        <v>39</v>
      </c>
      <c r="C16" s="53">
        <v>0.86699999999999999</v>
      </c>
      <c r="D16" s="53">
        <v>8.0000000000000002E-3</v>
      </c>
      <c r="E16" s="53">
        <v>0.15</v>
      </c>
      <c r="F16" s="53">
        <v>0.188</v>
      </c>
      <c r="G16" s="53">
        <v>0.219</v>
      </c>
      <c r="H16" s="53">
        <v>0.13900000000000001</v>
      </c>
      <c r="I16" s="53">
        <v>0.157</v>
      </c>
      <c r="J16" s="53">
        <v>7.0000000000000001E-3</v>
      </c>
      <c r="K16" s="53">
        <v>4.0796999999999999</v>
      </c>
      <c r="L16" s="53">
        <v>6.4100000000000004E-2</v>
      </c>
      <c r="M16" s="53">
        <v>1.0202</v>
      </c>
      <c r="N16" s="53">
        <v>1.8418000000000001</v>
      </c>
      <c r="O16" s="53">
        <v>3.3399999999999999E-2</v>
      </c>
      <c r="P16" s="53">
        <v>1.3599999999999999E-2</v>
      </c>
      <c r="Q16" s="53">
        <v>1.1061000000000001</v>
      </c>
      <c r="R16" s="53">
        <v>5.9999999999999995E-4</v>
      </c>
    </row>
    <row r="17" spans="2:18" s="35" customFormat="1" x14ac:dyDescent="0.2">
      <c r="B17" s="28" t="s">
        <v>40</v>
      </c>
      <c r="C17" s="53">
        <v>2.6379999999999999</v>
      </c>
      <c r="D17" s="53">
        <v>0.152</v>
      </c>
      <c r="E17" s="53">
        <v>0.58299999999999996</v>
      </c>
      <c r="F17" s="53">
        <v>0.39500000000000002</v>
      </c>
      <c r="G17" s="53">
        <v>0.36399999999999999</v>
      </c>
      <c r="H17" s="53">
        <v>0.59</v>
      </c>
      <c r="I17" s="53">
        <v>0.54100000000000004</v>
      </c>
      <c r="J17" s="53">
        <v>1.2999999999999999E-2</v>
      </c>
      <c r="K17" s="53">
        <v>1.3339000000000001</v>
      </c>
      <c r="L17" s="53">
        <v>0.1852</v>
      </c>
      <c r="M17" s="53">
        <v>0.1168</v>
      </c>
      <c r="N17" s="53">
        <v>0.1384</v>
      </c>
      <c r="O17" s="53">
        <v>1.1599999999999999E-2</v>
      </c>
      <c r="P17" s="53">
        <v>0.1178</v>
      </c>
      <c r="Q17" s="53">
        <v>0.76319999999999999</v>
      </c>
      <c r="R17" s="53">
        <v>8.0000000000000004E-4</v>
      </c>
    </row>
    <row r="18" spans="2:18" s="35" customFormat="1" x14ac:dyDescent="0.2">
      <c r="B18" s="28" t="s">
        <v>41</v>
      </c>
      <c r="C18" s="53">
        <v>1.8779999999999999</v>
      </c>
      <c r="D18" s="53">
        <v>0.129</v>
      </c>
      <c r="E18" s="53">
        <v>0.33900000000000002</v>
      </c>
      <c r="F18" s="53">
        <v>0.42499999999999999</v>
      </c>
      <c r="G18" s="53">
        <v>0.24399999999999999</v>
      </c>
      <c r="H18" s="53">
        <v>0.32600000000000001</v>
      </c>
      <c r="I18" s="53">
        <v>0.39300000000000002</v>
      </c>
      <c r="J18" s="53">
        <v>2.3E-2</v>
      </c>
      <c r="K18" s="53">
        <v>10.369</v>
      </c>
      <c r="L18" s="53">
        <v>0.4768</v>
      </c>
      <c r="M18" s="53">
        <v>2.8386999999999998</v>
      </c>
      <c r="N18" s="53">
        <v>2.2974999999999999</v>
      </c>
      <c r="O18" s="53">
        <v>0.2462</v>
      </c>
      <c r="P18" s="53">
        <v>0.25090000000000001</v>
      </c>
      <c r="Q18" s="53">
        <v>4.2521000000000004</v>
      </c>
      <c r="R18" s="53">
        <v>6.8999999999999999E-3</v>
      </c>
    </row>
    <row r="19" spans="2:18" s="35" customFormat="1" x14ac:dyDescent="0.2">
      <c r="B19" s="28" t="s">
        <v>42</v>
      </c>
      <c r="C19" s="53">
        <v>1.8819999999999999</v>
      </c>
      <c r="D19" s="53">
        <v>5.6000000000000001E-2</v>
      </c>
      <c r="E19" s="53">
        <v>0.72299999999999998</v>
      </c>
      <c r="F19" s="53">
        <v>0.32200000000000001</v>
      </c>
      <c r="G19" s="53">
        <v>0.316</v>
      </c>
      <c r="H19" s="53">
        <v>0.161</v>
      </c>
      <c r="I19" s="53">
        <v>0.29899999999999999</v>
      </c>
      <c r="J19" s="53">
        <v>5.0000000000000001E-3</v>
      </c>
      <c r="K19" s="53">
        <v>3.1284999999999998</v>
      </c>
      <c r="L19" s="53">
        <v>0.1701</v>
      </c>
      <c r="M19" s="53">
        <v>1.3013999999999999</v>
      </c>
      <c r="N19" s="53">
        <v>0.86929999999999996</v>
      </c>
      <c r="O19" s="53">
        <v>9.1800000000000007E-2</v>
      </c>
      <c r="P19" s="53">
        <v>9.5899999999999999E-2</v>
      </c>
      <c r="Q19" s="53">
        <v>0.59960000000000002</v>
      </c>
      <c r="R19" s="53">
        <v>4.0000000000000002E-4</v>
      </c>
    </row>
    <row r="20" spans="2:18" s="35" customFormat="1" x14ac:dyDescent="0.2">
      <c r="B20" s="28" t="s">
        <v>43</v>
      </c>
      <c r="C20" s="53">
        <v>2.2869999999999999</v>
      </c>
      <c r="D20" s="53">
        <v>0.36299999999999999</v>
      </c>
      <c r="E20" s="53">
        <v>0.59099999999999997</v>
      </c>
      <c r="F20" s="53">
        <v>0.252</v>
      </c>
      <c r="G20" s="53">
        <v>0.52200000000000002</v>
      </c>
      <c r="H20" s="53">
        <v>0.182</v>
      </c>
      <c r="I20" s="53">
        <v>0.372</v>
      </c>
      <c r="J20" s="53">
        <v>5.0000000000000001E-3</v>
      </c>
      <c r="K20" s="53">
        <v>8.2204999999999995</v>
      </c>
      <c r="L20" s="53">
        <v>0.38840000000000002</v>
      </c>
      <c r="M20" s="53">
        <v>3.1086999999999998</v>
      </c>
      <c r="N20" s="53">
        <v>1.6981999999999999</v>
      </c>
      <c r="O20" s="53">
        <v>6.7299999999999999E-2</v>
      </c>
      <c r="P20" s="53">
        <v>2.5617999999999999</v>
      </c>
      <c r="Q20" s="53">
        <v>0.39300000000000002</v>
      </c>
      <c r="R20" s="53">
        <v>3.2000000000000002E-3</v>
      </c>
    </row>
    <row r="21" spans="2:18" s="35" customFormat="1" x14ac:dyDescent="0.2">
      <c r="B21" s="28" t="s">
        <v>44</v>
      </c>
      <c r="C21" s="53">
        <v>3.4039999999999999</v>
      </c>
      <c r="D21" s="53">
        <v>0.374</v>
      </c>
      <c r="E21" s="53">
        <v>1.1659999999999999</v>
      </c>
      <c r="F21" s="53">
        <v>0.375</v>
      </c>
      <c r="G21" s="53">
        <v>0.77</v>
      </c>
      <c r="H21" s="53">
        <v>8.7999999999999995E-2</v>
      </c>
      <c r="I21" s="53">
        <v>0.63100000000000001</v>
      </c>
      <c r="J21" s="53">
        <v>0</v>
      </c>
      <c r="K21" s="53">
        <v>2.6461999999999999</v>
      </c>
      <c r="L21" s="53">
        <v>0.37219999999999998</v>
      </c>
      <c r="M21" s="53">
        <v>0.85629999999999995</v>
      </c>
      <c r="N21" s="53">
        <v>0.48759999999999998</v>
      </c>
      <c r="O21" s="53">
        <v>1.52E-2</v>
      </c>
      <c r="P21" s="53">
        <v>8.1699999999999995E-2</v>
      </c>
      <c r="Q21" s="53">
        <v>0.83309999999999995</v>
      </c>
      <c r="R21" s="53">
        <v>0</v>
      </c>
    </row>
    <row r="22" spans="2:18" s="35" customFormat="1" x14ac:dyDescent="0.2">
      <c r="B22" s="28" t="s">
        <v>45</v>
      </c>
      <c r="C22" s="53">
        <v>3.8490000000000002</v>
      </c>
      <c r="D22" s="53">
        <v>0.44400000000000001</v>
      </c>
      <c r="E22" s="53">
        <v>1.2290000000000001</v>
      </c>
      <c r="F22" s="53">
        <v>0.64500000000000002</v>
      </c>
      <c r="G22" s="53">
        <v>0.753</v>
      </c>
      <c r="H22" s="53">
        <v>0.21</v>
      </c>
      <c r="I22" s="53">
        <v>0.56599999999999995</v>
      </c>
      <c r="J22" s="53">
        <v>1E-3</v>
      </c>
      <c r="K22" s="53">
        <v>2.9474999999999998</v>
      </c>
      <c r="L22" s="53">
        <v>0.55520000000000003</v>
      </c>
      <c r="M22" s="53">
        <v>1.0495000000000001</v>
      </c>
      <c r="N22" s="53">
        <v>0.73270000000000002</v>
      </c>
      <c r="O22" s="53">
        <v>2.69E-2</v>
      </c>
      <c r="P22" s="53">
        <v>6.93E-2</v>
      </c>
      <c r="Q22" s="53">
        <v>0.51400000000000001</v>
      </c>
      <c r="R22" s="53">
        <v>0</v>
      </c>
    </row>
    <row r="23" spans="2:18" s="35" customFormat="1" x14ac:dyDescent="0.2">
      <c r="B23" s="28" t="s">
        <v>46</v>
      </c>
      <c r="C23" s="53">
        <v>2.2959999999999998</v>
      </c>
      <c r="D23" s="53">
        <v>0.126</v>
      </c>
      <c r="E23" s="53">
        <v>0.54500000000000004</v>
      </c>
      <c r="F23" s="53">
        <v>0.39100000000000001</v>
      </c>
      <c r="G23" s="53">
        <v>0.57999999999999996</v>
      </c>
      <c r="H23" s="53">
        <v>0.29399999999999998</v>
      </c>
      <c r="I23" s="53">
        <v>0.32600000000000001</v>
      </c>
      <c r="J23" s="53">
        <v>3.5000000000000003E-2</v>
      </c>
      <c r="K23" s="53">
        <v>3.1044999999999998</v>
      </c>
      <c r="L23" s="53">
        <v>0.93530000000000002</v>
      </c>
      <c r="M23" s="53">
        <v>1.0660000000000001</v>
      </c>
      <c r="N23" s="53">
        <v>0.58960000000000001</v>
      </c>
      <c r="O23" s="53">
        <v>6.6500000000000004E-2</v>
      </c>
      <c r="P23" s="53">
        <v>7.1199999999999999E-2</v>
      </c>
      <c r="Q23" s="53">
        <v>0.37590000000000001</v>
      </c>
      <c r="R23" s="53">
        <v>0</v>
      </c>
    </row>
    <row r="24" spans="2:18" s="35" customFormat="1" x14ac:dyDescent="0.2">
      <c r="B24" s="28" t="s">
        <v>47</v>
      </c>
      <c r="C24" s="53">
        <v>2.1339999999999999</v>
      </c>
      <c r="D24" s="53">
        <v>6.9000000000000006E-2</v>
      </c>
      <c r="E24" s="53">
        <v>0.64400000000000002</v>
      </c>
      <c r="F24" s="53">
        <v>0.316</v>
      </c>
      <c r="G24" s="53">
        <v>0.55500000000000005</v>
      </c>
      <c r="H24" s="53">
        <v>0.183</v>
      </c>
      <c r="I24" s="53">
        <v>0.36499999999999999</v>
      </c>
      <c r="J24" s="53">
        <v>2E-3</v>
      </c>
      <c r="K24" s="53">
        <v>1.6433</v>
      </c>
      <c r="L24" s="53">
        <v>0.38159999999999999</v>
      </c>
      <c r="M24" s="53">
        <v>0.54200000000000004</v>
      </c>
      <c r="N24" s="53">
        <v>0.38040000000000002</v>
      </c>
      <c r="O24" s="53">
        <v>2.3400000000000001E-2</v>
      </c>
      <c r="P24" s="53">
        <v>8.1600000000000006E-2</v>
      </c>
      <c r="Q24" s="53">
        <v>0.23430000000000001</v>
      </c>
      <c r="R24" s="53">
        <v>0</v>
      </c>
    </row>
    <row r="25" spans="2:18" s="35" customFormat="1" x14ac:dyDescent="0.2">
      <c r="B25" s="28" t="s">
        <v>48</v>
      </c>
      <c r="C25" s="53">
        <v>3.0459999999999998</v>
      </c>
      <c r="D25" s="53">
        <v>0.14000000000000001</v>
      </c>
      <c r="E25" s="53">
        <v>1.079</v>
      </c>
      <c r="F25" s="53">
        <v>0.42299999999999999</v>
      </c>
      <c r="G25" s="53">
        <v>0.61</v>
      </c>
      <c r="H25" s="53">
        <v>0.26500000000000001</v>
      </c>
      <c r="I25" s="53">
        <v>0.52500000000000002</v>
      </c>
      <c r="J25" s="53">
        <v>4.0000000000000001E-3</v>
      </c>
      <c r="K25" s="53">
        <v>8.9139999999999997</v>
      </c>
      <c r="L25" s="53">
        <v>0.625</v>
      </c>
      <c r="M25" s="53">
        <v>3.2974999999999999</v>
      </c>
      <c r="N25" s="53">
        <v>1.9821</v>
      </c>
      <c r="O25" s="53">
        <v>8.2199999999999995E-2</v>
      </c>
      <c r="P25" s="53">
        <v>2.3902999999999999</v>
      </c>
      <c r="Q25" s="53">
        <v>0.53</v>
      </c>
      <c r="R25" s="53">
        <v>6.8999999999999999E-3</v>
      </c>
    </row>
    <row r="26" spans="2:18" s="35" customFormat="1" x14ac:dyDescent="0.2">
      <c r="B26" s="28" t="s">
        <v>49</v>
      </c>
      <c r="C26" s="53">
        <v>2.5590000000000002</v>
      </c>
      <c r="D26" s="53">
        <v>0.124</v>
      </c>
      <c r="E26" s="53">
        <v>0.995</v>
      </c>
      <c r="F26" s="53">
        <v>0.27200000000000002</v>
      </c>
      <c r="G26" s="53">
        <v>0.48199999999999998</v>
      </c>
      <c r="H26" s="53">
        <v>0.246</v>
      </c>
      <c r="I26" s="53">
        <v>0.44</v>
      </c>
      <c r="J26" s="53">
        <v>0</v>
      </c>
      <c r="K26" s="53">
        <v>3.0869</v>
      </c>
      <c r="L26" s="53">
        <v>0.58479999999999999</v>
      </c>
      <c r="M26" s="53">
        <v>1.1774</v>
      </c>
      <c r="N26" s="53">
        <v>0.69820000000000004</v>
      </c>
      <c r="O26" s="53">
        <v>3.8100000000000002E-2</v>
      </c>
      <c r="P26" s="53">
        <v>0.1842</v>
      </c>
      <c r="Q26" s="53">
        <v>0.40229999999999999</v>
      </c>
      <c r="R26" s="53">
        <v>2E-3</v>
      </c>
    </row>
    <row r="27" spans="2:18" s="35" customFormat="1" x14ac:dyDescent="0.2">
      <c r="B27" s="28" t="s">
        <v>50</v>
      </c>
      <c r="C27" s="53">
        <v>2.4209999999999998</v>
      </c>
      <c r="D27" s="53">
        <v>0.09</v>
      </c>
      <c r="E27" s="53">
        <v>0.80600000000000005</v>
      </c>
      <c r="F27" s="53">
        <v>0.35799999999999998</v>
      </c>
      <c r="G27" s="53">
        <v>0.47299999999999998</v>
      </c>
      <c r="H27" s="53">
        <v>0.22700000000000001</v>
      </c>
      <c r="I27" s="53">
        <v>0.45800000000000002</v>
      </c>
      <c r="J27" s="53">
        <v>8.9999999999999993E-3</v>
      </c>
      <c r="K27" s="53">
        <v>2.2366000000000001</v>
      </c>
      <c r="L27" s="53">
        <v>0.35289999999999999</v>
      </c>
      <c r="M27" s="53">
        <v>0.80679999999999996</v>
      </c>
      <c r="N27" s="53">
        <v>0.51239999999999997</v>
      </c>
      <c r="O27" s="53">
        <v>3.6200000000000003E-2</v>
      </c>
      <c r="P27" s="53">
        <v>6.0299999999999999E-2</v>
      </c>
      <c r="Q27" s="53">
        <v>0.46800000000000003</v>
      </c>
      <c r="R27" s="53">
        <v>0</v>
      </c>
    </row>
    <row r="28" spans="2:18" s="35" customFormat="1" x14ac:dyDescent="0.2">
      <c r="B28" s="28" t="s">
        <v>51</v>
      </c>
      <c r="C28" s="53">
        <v>2.36</v>
      </c>
      <c r="D28" s="53">
        <v>0.128</v>
      </c>
      <c r="E28" s="53">
        <v>0.86699999999999999</v>
      </c>
      <c r="F28" s="53">
        <v>0.38200000000000001</v>
      </c>
      <c r="G28" s="53">
        <v>0.40899999999999997</v>
      </c>
      <c r="H28" s="53">
        <v>0.24099999999999999</v>
      </c>
      <c r="I28" s="53">
        <v>0.33300000000000002</v>
      </c>
      <c r="J28" s="53">
        <v>0</v>
      </c>
      <c r="K28" s="53">
        <v>7.0518999999999998</v>
      </c>
      <c r="L28" s="53">
        <v>0.64939999999999998</v>
      </c>
      <c r="M28" s="53">
        <v>1.3180000000000001</v>
      </c>
      <c r="N28" s="53">
        <v>1.091</v>
      </c>
      <c r="O28" s="53">
        <v>0.13120000000000001</v>
      </c>
      <c r="P28" s="53">
        <v>0.14560000000000001</v>
      </c>
      <c r="Q28" s="53">
        <v>3.7155</v>
      </c>
      <c r="R28" s="53">
        <v>1.1999999999999999E-3</v>
      </c>
    </row>
    <row r="29" spans="2:18" s="35" customFormat="1" x14ac:dyDescent="0.2">
      <c r="B29" s="28" t="s">
        <v>52</v>
      </c>
      <c r="C29" s="53">
        <v>2.29</v>
      </c>
      <c r="D29" s="53">
        <v>0.185</v>
      </c>
      <c r="E29" s="53">
        <v>0.67</v>
      </c>
      <c r="F29" s="53">
        <v>0.32700000000000001</v>
      </c>
      <c r="G29" s="53">
        <v>0.48599999999999999</v>
      </c>
      <c r="H29" s="53">
        <v>0.25800000000000001</v>
      </c>
      <c r="I29" s="53">
        <v>0.35</v>
      </c>
      <c r="J29" s="53">
        <v>1.2999999999999999E-2</v>
      </c>
      <c r="K29" s="53">
        <v>3.5874000000000001</v>
      </c>
      <c r="L29" s="53">
        <v>0.1668</v>
      </c>
      <c r="M29" s="53">
        <v>1.1598999999999999</v>
      </c>
      <c r="N29" s="53">
        <v>0.93110000000000004</v>
      </c>
      <c r="O29" s="53">
        <v>6.7699999999999996E-2</v>
      </c>
      <c r="P29" s="53">
        <v>0.1</v>
      </c>
      <c r="Q29" s="53">
        <v>1.1618999999999999</v>
      </c>
      <c r="R29" s="53">
        <v>0</v>
      </c>
    </row>
    <row r="30" spans="2:18" s="35" customFormat="1" x14ac:dyDescent="0.2">
      <c r="B30" s="28" t="s">
        <v>53</v>
      </c>
      <c r="C30" s="53">
        <v>1.869</v>
      </c>
      <c r="D30" s="53">
        <v>0.11899999999999999</v>
      </c>
      <c r="E30" s="53">
        <v>0.44400000000000001</v>
      </c>
      <c r="F30" s="53">
        <v>0.28100000000000003</v>
      </c>
      <c r="G30" s="53">
        <v>0.35099999999999998</v>
      </c>
      <c r="H30" s="53">
        <v>0.14899999999999999</v>
      </c>
      <c r="I30" s="53">
        <v>0.501</v>
      </c>
      <c r="J30" s="53">
        <v>2.4E-2</v>
      </c>
      <c r="K30" s="53">
        <v>2.2667999999999999</v>
      </c>
      <c r="L30" s="53">
        <v>0.18140000000000001</v>
      </c>
      <c r="M30" s="53">
        <v>0.66100000000000003</v>
      </c>
      <c r="N30" s="53">
        <v>0.52659999999999996</v>
      </c>
      <c r="O30" s="53">
        <v>6.7400000000000002E-2</v>
      </c>
      <c r="P30" s="53">
        <v>0.29980000000000001</v>
      </c>
      <c r="Q30" s="53">
        <v>0.53059999999999996</v>
      </c>
      <c r="R30" s="53">
        <v>0</v>
      </c>
    </row>
    <row r="31" spans="2:18" s="35" customFormat="1" x14ac:dyDescent="0.2">
      <c r="B31" s="28" t="s">
        <v>54</v>
      </c>
      <c r="C31" s="53">
        <v>2.2410000000000001</v>
      </c>
      <c r="D31" s="53">
        <v>0.35799999999999998</v>
      </c>
      <c r="E31" s="53">
        <v>0.44800000000000001</v>
      </c>
      <c r="F31" s="53">
        <v>0.501</v>
      </c>
      <c r="G31" s="53">
        <v>0.36299999999999999</v>
      </c>
      <c r="H31" s="53">
        <v>0.14799999999999999</v>
      </c>
      <c r="I31" s="53">
        <v>0.40100000000000002</v>
      </c>
      <c r="J31" s="53">
        <v>2.1999999999999999E-2</v>
      </c>
      <c r="K31" s="53">
        <v>3.1598000000000002</v>
      </c>
      <c r="L31" s="53">
        <v>0.15720000000000001</v>
      </c>
      <c r="M31" s="53">
        <v>1.0817000000000001</v>
      </c>
      <c r="N31" s="53">
        <v>0.96540000000000004</v>
      </c>
      <c r="O31" s="53">
        <v>7.2499999999999995E-2</v>
      </c>
      <c r="P31" s="53">
        <v>0.1249</v>
      </c>
      <c r="Q31" s="53">
        <v>0.7571</v>
      </c>
      <c r="R31" s="53">
        <v>8.9999999999999998E-4</v>
      </c>
    </row>
    <row r="32" spans="2:18" s="35" customFormat="1" x14ac:dyDescent="0.2">
      <c r="B32" s="28" t="s">
        <v>55</v>
      </c>
      <c r="C32" s="53">
        <v>1.9890000000000001</v>
      </c>
      <c r="D32" s="53">
        <v>0.14599999999999999</v>
      </c>
      <c r="E32" s="53">
        <v>0.42199999999999999</v>
      </c>
      <c r="F32" s="53">
        <v>0.34200000000000003</v>
      </c>
      <c r="G32" s="53">
        <v>0.26400000000000001</v>
      </c>
      <c r="H32" s="53">
        <v>0.35</v>
      </c>
      <c r="I32" s="53">
        <v>0.46200000000000002</v>
      </c>
      <c r="J32" s="53">
        <v>1E-3</v>
      </c>
      <c r="K32" s="53">
        <v>7.9131</v>
      </c>
      <c r="L32" s="53">
        <v>0.30249999999999999</v>
      </c>
      <c r="M32" s="53">
        <v>1.6138999999999999</v>
      </c>
      <c r="N32" s="53">
        <v>1.5767</v>
      </c>
      <c r="O32" s="53">
        <v>0.16270000000000001</v>
      </c>
      <c r="P32" s="53">
        <v>0.30919999999999997</v>
      </c>
      <c r="Q32" s="53">
        <v>3.944</v>
      </c>
      <c r="R32" s="53">
        <v>4.1000000000000003E-3</v>
      </c>
    </row>
    <row r="33" spans="2:18" s="35" customFormat="1" x14ac:dyDescent="0.2">
      <c r="B33" s="28" t="s">
        <v>56</v>
      </c>
      <c r="C33" s="53">
        <v>2.08</v>
      </c>
      <c r="D33" s="53">
        <v>0.16300000000000001</v>
      </c>
      <c r="E33" s="53">
        <v>0.57099999999999995</v>
      </c>
      <c r="F33" s="53">
        <v>0.36399999999999999</v>
      </c>
      <c r="G33" s="53">
        <v>0.34499999999999997</v>
      </c>
      <c r="H33" s="53">
        <v>0.248</v>
      </c>
      <c r="I33" s="53">
        <v>0.38700000000000001</v>
      </c>
      <c r="J33" s="53">
        <v>1E-3</v>
      </c>
      <c r="K33" s="53">
        <v>2.6408</v>
      </c>
      <c r="L33" s="53">
        <v>8.2400000000000001E-2</v>
      </c>
      <c r="M33" s="53">
        <v>0.96240000000000003</v>
      </c>
      <c r="N33" s="53">
        <v>0.9274</v>
      </c>
      <c r="O33" s="53">
        <v>6.1600000000000002E-2</v>
      </c>
      <c r="P33" s="53">
        <v>4.6800000000000001E-2</v>
      </c>
      <c r="Q33" s="53">
        <v>0.56000000000000005</v>
      </c>
      <c r="R33" s="53">
        <v>0</v>
      </c>
    </row>
    <row r="34" spans="2:18" s="35" customFormat="1" x14ac:dyDescent="0.2">
      <c r="B34" s="28" t="s">
        <v>57</v>
      </c>
      <c r="C34" s="53">
        <v>1.641</v>
      </c>
      <c r="D34" s="53">
        <v>0.23400000000000001</v>
      </c>
      <c r="E34" s="53">
        <v>0.26500000000000001</v>
      </c>
      <c r="F34" s="53">
        <v>0.42199999999999999</v>
      </c>
      <c r="G34" s="53">
        <v>0.307</v>
      </c>
      <c r="H34" s="53">
        <v>9.8000000000000004E-2</v>
      </c>
      <c r="I34" s="53">
        <v>0.313</v>
      </c>
      <c r="J34" s="53">
        <v>2E-3</v>
      </c>
      <c r="K34" s="53">
        <v>0.62890000000000001</v>
      </c>
      <c r="L34" s="53">
        <v>6.4299999999999996E-2</v>
      </c>
      <c r="M34" s="53">
        <v>0.16220000000000001</v>
      </c>
      <c r="N34" s="53">
        <v>0.22509999999999999</v>
      </c>
      <c r="O34" s="53">
        <v>2.1000000000000001E-2</v>
      </c>
      <c r="P34" s="53">
        <v>2.98E-2</v>
      </c>
      <c r="Q34" s="53">
        <v>0.12640000000000001</v>
      </c>
      <c r="R34" s="53">
        <v>0</v>
      </c>
    </row>
    <row r="35" spans="2:18" s="35" customFormat="1" x14ac:dyDescent="0.2">
      <c r="B35" s="28" t="s">
        <v>58</v>
      </c>
      <c r="C35" s="53">
        <v>2.9780000000000002</v>
      </c>
      <c r="D35" s="53">
        <v>0.19800000000000001</v>
      </c>
      <c r="E35" s="53">
        <v>0.79900000000000004</v>
      </c>
      <c r="F35" s="53">
        <v>0.58299999999999996</v>
      </c>
      <c r="G35" s="53">
        <v>0.53800000000000003</v>
      </c>
      <c r="H35" s="53">
        <v>0.185</v>
      </c>
      <c r="I35" s="53">
        <v>0.39800000000000002</v>
      </c>
      <c r="J35" s="53">
        <v>0.27600000000000002</v>
      </c>
      <c r="K35" s="53">
        <v>2.7888999999999999</v>
      </c>
      <c r="L35" s="53">
        <v>0.1938</v>
      </c>
      <c r="M35" s="53">
        <v>1.3768</v>
      </c>
      <c r="N35" s="53">
        <v>0.72660000000000002</v>
      </c>
      <c r="O35" s="53">
        <v>4.7E-2</v>
      </c>
      <c r="P35" s="53">
        <v>0.15540000000000001</v>
      </c>
      <c r="Q35" s="53">
        <v>0.28920000000000001</v>
      </c>
      <c r="R35" s="53">
        <v>0</v>
      </c>
    </row>
    <row r="36" spans="2:18" s="35" customFormat="1" x14ac:dyDescent="0.2">
      <c r="B36" s="28" t="s">
        <v>59</v>
      </c>
      <c r="C36" s="53">
        <v>1.986</v>
      </c>
      <c r="D36" s="53">
        <v>0.253</v>
      </c>
      <c r="E36" s="53">
        <v>0.499</v>
      </c>
      <c r="F36" s="53">
        <v>0.24199999999999999</v>
      </c>
      <c r="G36" s="53">
        <v>0.35899999999999999</v>
      </c>
      <c r="H36" s="53">
        <v>9.6000000000000002E-2</v>
      </c>
      <c r="I36" s="53">
        <v>0.52100000000000002</v>
      </c>
      <c r="J36" s="53">
        <v>1.7000000000000001E-2</v>
      </c>
      <c r="K36" s="53">
        <v>3.4718</v>
      </c>
      <c r="L36" s="53">
        <v>8.2600000000000007E-2</v>
      </c>
      <c r="M36" s="53">
        <v>1.3456999999999999</v>
      </c>
      <c r="N36" s="53">
        <v>1.1585000000000001</v>
      </c>
      <c r="O36" s="53">
        <v>0.1515</v>
      </c>
      <c r="P36" s="53">
        <v>0.11609999999999999</v>
      </c>
      <c r="Q36" s="53">
        <v>0.61739999999999995</v>
      </c>
      <c r="R36" s="53">
        <v>0</v>
      </c>
    </row>
    <row r="37" spans="2:18" s="35" customFormat="1" x14ac:dyDescent="0.2">
      <c r="B37" s="28" t="s">
        <v>60</v>
      </c>
      <c r="C37" s="53">
        <v>2.347</v>
      </c>
      <c r="D37" s="53">
        <v>0.25600000000000001</v>
      </c>
      <c r="E37" s="53">
        <v>0.56999999999999995</v>
      </c>
      <c r="F37" s="53">
        <v>0.34599999999999997</v>
      </c>
      <c r="G37" s="53">
        <v>0.57799999999999996</v>
      </c>
      <c r="H37" s="53">
        <v>0.11799999999999999</v>
      </c>
      <c r="I37" s="53">
        <v>0.47</v>
      </c>
      <c r="J37" s="53">
        <v>0.01</v>
      </c>
      <c r="K37" s="53">
        <v>2.4706000000000001</v>
      </c>
      <c r="L37" s="53">
        <v>0.22059999999999999</v>
      </c>
      <c r="M37" s="53">
        <v>1.1343000000000001</v>
      </c>
      <c r="N37" s="53">
        <v>0.60070000000000001</v>
      </c>
      <c r="O37" s="53">
        <v>4.4900000000000002E-2</v>
      </c>
      <c r="P37" s="53">
        <v>0.1245</v>
      </c>
      <c r="Q37" s="53">
        <v>0.34560000000000002</v>
      </c>
      <c r="R37" s="53">
        <v>0</v>
      </c>
    </row>
    <row r="38" spans="2:18" s="35" customFormat="1" x14ac:dyDescent="0.2">
      <c r="B38" s="28" t="s">
        <v>61</v>
      </c>
      <c r="C38" s="53">
        <v>1.7090000000000001</v>
      </c>
      <c r="D38" s="53">
        <v>0.192</v>
      </c>
      <c r="E38" s="53">
        <v>0.28899999999999998</v>
      </c>
      <c r="F38" s="53">
        <v>0.27200000000000002</v>
      </c>
      <c r="G38" s="53">
        <v>0.47699999999999998</v>
      </c>
      <c r="H38" s="53">
        <v>0.13200000000000001</v>
      </c>
      <c r="I38" s="53">
        <v>0.33100000000000002</v>
      </c>
      <c r="J38" s="53">
        <v>1.7000000000000001E-2</v>
      </c>
      <c r="K38" s="53">
        <v>6.2426000000000004</v>
      </c>
      <c r="L38" s="53">
        <v>0.27460000000000001</v>
      </c>
      <c r="M38" s="53">
        <v>2.0825</v>
      </c>
      <c r="N38" s="53">
        <v>1.7799</v>
      </c>
      <c r="O38" s="53">
        <v>0.26050000000000001</v>
      </c>
      <c r="P38" s="53">
        <v>0.186</v>
      </c>
      <c r="Q38" s="53">
        <v>1.6568000000000001</v>
      </c>
      <c r="R38" s="53">
        <v>2.2000000000000001E-3</v>
      </c>
    </row>
    <row r="39" spans="2:18" s="35" customFormat="1" x14ac:dyDescent="0.2">
      <c r="B39" s="28" t="s">
        <v>62</v>
      </c>
      <c r="C39" s="53">
        <v>1.734</v>
      </c>
      <c r="D39" s="53">
        <v>0.11899999999999999</v>
      </c>
      <c r="E39" s="53">
        <v>0.47799999999999998</v>
      </c>
      <c r="F39" s="53">
        <v>0.3</v>
      </c>
      <c r="G39" s="53">
        <v>0.4</v>
      </c>
      <c r="H39" s="53">
        <v>0.108</v>
      </c>
      <c r="I39" s="53">
        <v>0.32</v>
      </c>
      <c r="J39" s="53">
        <v>8.0000000000000002E-3</v>
      </c>
      <c r="K39" s="53">
        <v>2.4832999999999998</v>
      </c>
      <c r="L39" s="53">
        <v>0.15210000000000001</v>
      </c>
      <c r="M39" s="53">
        <v>0.91590000000000005</v>
      </c>
      <c r="N39" s="53">
        <v>0.80479999999999996</v>
      </c>
      <c r="O39" s="53">
        <v>5.8299999999999998E-2</v>
      </c>
      <c r="P39" s="53">
        <v>0.1109</v>
      </c>
      <c r="Q39" s="53">
        <v>0.44059999999999999</v>
      </c>
      <c r="R39" s="53">
        <v>5.0000000000000001E-4</v>
      </c>
    </row>
    <row r="40" spans="2:18" s="35" customFormat="1" x14ac:dyDescent="0.2">
      <c r="B40" s="28" t="s">
        <v>63</v>
      </c>
      <c r="C40" s="53">
        <v>2.1560000000000001</v>
      </c>
      <c r="D40" s="53">
        <v>0.16900000000000001</v>
      </c>
      <c r="E40" s="53">
        <v>0.73199999999999998</v>
      </c>
      <c r="F40" s="53">
        <v>0.32100000000000001</v>
      </c>
      <c r="G40" s="53">
        <v>0.496</v>
      </c>
      <c r="H40" s="53">
        <v>0.13200000000000001</v>
      </c>
      <c r="I40" s="53">
        <v>0.30099999999999999</v>
      </c>
      <c r="J40" s="53">
        <v>5.0000000000000001E-3</v>
      </c>
      <c r="K40" s="53">
        <v>2.0608</v>
      </c>
      <c r="L40" s="53">
        <v>0.1545</v>
      </c>
      <c r="M40" s="53">
        <v>0.53700000000000003</v>
      </c>
      <c r="N40" s="53">
        <v>0.98270000000000002</v>
      </c>
      <c r="O40" s="53">
        <v>2.3E-2</v>
      </c>
      <c r="P40" s="53">
        <v>9.0999999999999998E-2</v>
      </c>
      <c r="Q40" s="53">
        <v>0.27260000000000001</v>
      </c>
      <c r="R40" s="53">
        <v>0</v>
      </c>
    </row>
    <row r="41" spans="2:18" s="35" customFormat="1" x14ac:dyDescent="0.2">
      <c r="B41" s="28" t="s">
        <v>64</v>
      </c>
      <c r="C41" s="53">
        <v>1.823</v>
      </c>
      <c r="D41" s="53">
        <v>0.15</v>
      </c>
      <c r="E41" s="53">
        <v>0.40400000000000003</v>
      </c>
      <c r="F41" s="53">
        <v>0.22700000000000001</v>
      </c>
      <c r="G41" s="53">
        <v>0.48799999999999999</v>
      </c>
      <c r="H41" s="53">
        <v>0.24299999999999999</v>
      </c>
      <c r="I41" s="53">
        <v>0.307</v>
      </c>
      <c r="J41" s="53">
        <v>4.0000000000000001E-3</v>
      </c>
      <c r="K41" s="53">
        <v>2.7505999999999999</v>
      </c>
      <c r="L41" s="53">
        <v>0.3044</v>
      </c>
      <c r="M41" s="53">
        <v>1.0195000000000001</v>
      </c>
      <c r="N41" s="53">
        <v>0.80779999999999996</v>
      </c>
      <c r="O41" s="53">
        <v>2.1299999999999999E-2</v>
      </c>
      <c r="P41" s="53">
        <v>8.9099999999999999E-2</v>
      </c>
      <c r="Q41" s="53">
        <v>0.50829999999999997</v>
      </c>
      <c r="R41" s="53">
        <v>2.9999999999999997E-4</v>
      </c>
    </row>
    <row r="42" spans="2:18" s="35" customFormat="1" x14ac:dyDescent="0.2">
      <c r="B42" s="28" t="s">
        <v>65</v>
      </c>
      <c r="C42" s="53">
        <v>2.1179999999999999</v>
      </c>
      <c r="D42" s="53">
        <v>0.13200000000000001</v>
      </c>
      <c r="E42" s="53">
        <v>0.47</v>
      </c>
      <c r="F42" s="53">
        <v>0.26200000000000001</v>
      </c>
      <c r="G42" s="53">
        <v>0.65700000000000003</v>
      </c>
      <c r="H42" s="53">
        <v>0.14499999999999999</v>
      </c>
      <c r="I42" s="53">
        <v>0.443</v>
      </c>
      <c r="J42" s="53">
        <v>8.9999999999999993E-3</v>
      </c>
      <c r="K42" s="53">
        <v>5.6555</v>
      </c>
      <c r="L42" s="53">
        <v>0.3105</v>
      </c>
      <c r="M42" s="53">
        <v>2.0729000000000002</v>
      </c>
      <c r="N42" s="53">
        <v>1.4338</v>
      </c>
      <c r="O42" s="53">
        <v>0.10970000000000001</v>
      </c>
      <c r="P42" s="53">
        <v>0.13750000000000001</v>
      </c>
      <c r="Q42" s="53">
        <v>1.5901000000000001</v>
      </c>
      <c r="R42" s="53">
        <v>1.1999999999999999E-3</v>
      </c>
    </row>
    <row r="43" spans="2:18" s="35" customFormat="1" x14ac:dyDescent="0.2">
      <c r="B43" s="28" t="s">
        <v>66</v>
      </c>
      <c r="C43" s="53">
        <v>2.4870000000000001</v>
      </c>
      <c r="D43" s="53">
        <v>9.9000000000000005E-2</v>
      </c>
      <c r="E43" s="53">
        <v>0.7</v>
      </c>
      <c r="F43" s="53">
        <v>0.38400000000000001</v>
      </c>
      <c r="G43" s="53">
        <v>0.75</v>
      </c>
      <c r="H43" s="53">
        <v>0.104</v>
      </c>
      <c r="I43" s="53">
        <v>0.44600000000000001</v>
      </c>
      <c r="J43" s="53">
        <v>4.0000000000000001E-3</v>
      </c>
      <c r="K43" s="53">
        <v>3.8660000000000001</v>
      </c>
      <c r="L43" s="53">
        <v>0.38640000000000002</v>
      </c>
      <c r="M43" s="53">
        <v>1.3005</v>
      </c>
      <c r="N43" s="53">
        <v>0.96230000000000004</v>
      </c>
      <c r="O43" s="53">
        <v>2.07E-2</v>
      </c>
      <c r="P43" s="53">
        <v>0.13450000000000001</v>
      </c>
      <c r="Q43" s="53">
        <v>1.0615000000000001</v>
      </c>
      <c r="R43" s="53">
        <v>0</v>
      </c>
    </row>
    <row r="44" spans="2:18" s="35" customFormat="1" x14ac:dyDescent="0.2">
      <c r="B44" s="28" t="s">
        <v>67</v>
      </c>
      <c r="C44" s="53">
        <v>2.6840000000000002</v>
      </c>
      <c r="D44" s="53">
        <v>0.31</v>
      </c>
      <c r="E44" s="53">
        <v>0.66100000000000003</v>
      </c>
      <c r="F44" s="53">
        <v>0.505</v>
      </c>
      <c r="G44" s="53">
        <v>0.72099999999999997</v>
      </c>
      <c r="H44" s="53">
        <v>0.13400000000000001</v>
      </c>
      <c r="I44" s="53">
        <v>0.33200000000000002</v>
      </c>
      <c r="J44" s="53">
        <v>2.1999999999999999E-2</v>
      </c>
      <c r="K44" s="53">
        <v>3.2730000000000001</v>
      </c>
      <c r="L44" s="53">
        <v>0.13980000000000001</v>
      </c>
      <c r="M44" s="53">
        <v>1.2506999999999999</v>
      </c>
      <c r="N44" s="53">
        <v>0.80369999999999997</v>
      </c>
      <c r="O44" s="53">
        <v>3.15E-2</v>
      </c>
      <c r="P44" s="53">
        <v>8.6800000000000002E-2</v>
      </c>
      <c r="Q44" s="53">
        <v>0.96050000000000002</v>
      </c>
      <c r="R44" s="53">
        <v>0</v>
      </c>
    </row>
    <row r="45" spans="2:18" s="35" customFormat="1" x14ac:dyDescent="0.2">
      <c r="B45" s="28" t="s">
        <v>68</v>
      </c>
      <c r="C45" s="53">
        <v>1.6539999999999999</v>
      </c>
      <c r="D45" s="53">
        <v>0.13200000000000001</v>
      </c>
      <c r="E45" s="53">
        <v>0.29199999999999998</v>
      </c>
      <c r="F45" s="53">
        <v>0.378</v>
      </c>
      <c r="G45" s="53">
        <v>0.30199999999999999</v>
      </c>
      <c r="H45" s="53">
        <v>0.152</v>
      </c>
      <c r="I45" s="53">
        <v>0.378</v>
      </c>
      <c r="J45" s="53">
        <v>0.02</v>
      </c>
      <c r="K45" s="53">
        <v>7.1162999999999998</v>
      </c>
      <c r="L45" s="53">
        <v>0.27410000000000001</v>
      </c>
      <c r="M45" s="53">
        <v>1.7455000000000001</v>
      </c>
      <c r="N45" s="53">
        <v>1.5739000000000001</v>
      </c>
      <c r="O45" s="53">
        <v>0.154</v>
      </c>
      <c r="P45" s="53">
        <v>0.1802</v>
      </c>
      <c r="Q45" s="53">
        <v>3.1854</v>
      </c>
      <c r="R45" s="53">
        <v>3.2000000000000002E-3</v>
      </c>
    </row>
    <row r="46" spans="2:18" s="35" customFormat="1" x14ac:dyDescent="0.2">
      <c r="B46" s="28" t="s">
        <v>69</v>
      </c>
      <c r="C46" s="53">
        <v>1.748</v>
      </c>
      <c r="D46" s="53">
        <v>0.192</v>
      </c>
      <c r="E46" s="53">
        <v>0.46100000000000002</v>
      </c>
      <c r="F46" s="53">
        <v>0.26900000000000002</v>
      </c>
      <c r="G46" s="53">
        <v>0.35499999999999998</v>
      </c>
      <c r="H46" s="53">
        <v>8.6999999999999994E-2</v>
      </c>
      <c r="I46" s="53">
        <v>0.376</v>
      </c>
      <c r="J46" s="53">
        <v>8.0000000000000002E-3</v>
      </c>
      <c r="K46" s="53">
        <v>3.1537999999999999</v>
      </c>
      <c r="L46" s="53">
        <v>0.43569999999999998</v>
      </c>
      <c r="M46" s="53">
        <v>0.87719999999999998</v>
      </c>
      <c r="N46" s="53">
        <v>0.74419999999999997</v>
      </c>
      <c r="O46" s="53">
        <v>4.4499999999999998E-2</v>
      </c>
      <c r="P46" s="53">
        <v>8.3000000000000001E-3</v>
      </c>
      <c r="Q46" s="53">
        <v>1.0438000000000001</v>
      </c>
      <c r="R46" s="53">
        <v>0</v>
      </c>
    </row>
    <row r="47" spans="2:18" s="35" customFormat="1" x14ac:dyDescent="0.2">
      <c r="B47" s="28" t="s">
        <v>70</v>
      </c>
      <c r="C47" s="53">
        <v>2.4630000000000001</v>
      </c>
      <c r="D47" s="53">
        <v>0.48299999999999998</v>
      </c>
      <c r="E47" s="53">
        <v>0.52700000000000002</v>
      </c>
      <c r="F47" s="53">
        <v>0.34899999999999998</v>
      </c>
      <c r="G47" s="53">
        <v>0.44</v>
      </c>
      <c r="H47" s="53">
        <v>0.2</v>
      </c>
      <c r="I47" s="53">
        <v>0.45100000000000001</v>
      </c>
      <c r="J47" s="53">
        <v>1.4E-2</v>
      </c>
      <c r="K47" s="53">
        <v>3.0558999999999998</v>
      </c>
      <c r="L47" s="53">
        <v>0.30299999999999999</v>
      </c>
      <c r="M47" s="53">
        <v>1.0323</v>
      </c>
      <c r="N47" s="53">
        <v>0.82210000000000005</v>
      </c>
      <c r="O47" s="53">
        <v>3.9699999999999999E-2</v>
      </c>
      <c r="P47" s="53">
        <v>0.2596</v>
      </c>
      <c r="Q47" s="53">
        <v>0.59919999999999995</v>
      </c>
      <c r="R47" s="53">
        <v>0</v>
      </c>
    </row>
    <row r="48" spans="2:18" s="35" customFormat="1" x14ac:dyDescent="0.2">
      <c r="B48" s="28" t="s">
        <v>71</v>
      </c>
      <c r="C48" s="53">
        <v>1.637</v>
      </c>
      <c r="D48" s="53">
        <v>0.15</v>
      </c>
      <c r="E48" s="53">
        <v>0.435</v>
      </c>
      <c r="F48" s="53">
        <v>0.308</v>
      </c>
      <c r="G48" s="53">
        <v>0.33500000000000002</v>
      </c>
      <c r="H48" s="53">
        <v>0.14599999999999999</v>
      </c>
      <c r="I48" s="53">
        <v>0.26100000000000001</v>
      </c>
      <c r="J48" s="53">
        <v>3.0000000000000001E-3</v>
      </c>
      <c r="K48" s="53">
        <v>2.6375000000000002</v>
      </c>
      <c r="L48" s="53">
        <v>0.2465</v>
      </c>
      <c r="M48" s="53">
        <v>0.93130000000000002</v>
      </c>
      <c r="N48" s="53">
        <v>0.7631</v>
      </c>
      <c r="O48" s="53">
        <v>2.8500000000000001E-2</v>
      </c>
      <c r="P48" s="53">
        <v>5.1799999999999999E-2</v>
      </c>
      <c r="Q48" s="53">
        <v>0.61529999999999996</v>
      </c>
      <c r="R48" s="53">
        <v>1E-3</v>
      </c>
    </row>
    <row r="49" spans="2:18" s="35" customFormat="1" x14ac:dyDescent="0.2">
      <c r="B49" s="28" t="s">
        <v>72</v>
      </c>
      <c r="C49" s="53">
        <v>2.7869999999999999</v>
      </c>
      <c r="D49" s="53">
        <v>0.307</v>
      </c>
      <c r="E49" s="53">
        <v>0.93799999999999994</v>
      </c>
      <c r="F49" s="53">
        <v>0.35099999999999998</v>
      </c>
      <c r="G49" s="53">
        <v>0.53200000000000003</v>
      </c>
      <c r="H49" s="53">
        <v>0.23100000000000001</v>
      </c>
      <c r="I49" s="53">
        <v>0.40500000000000003</v>
      </c>
      <c r="J49" s="53">
        <v>2.4E-2</v>
      </c>
      <c r="K49" s="53">
        <v>2.4020999999999999</v>
      </c>
      <c r="L49" s="53">
        <v>0.1827</v>
      </c>
      <c r="M49" s="53">
        <v>1.2554000000000001</v>
      </c>
      <c r="N49" s="53">
        <v>0.55930000000000002</v>
      </c>
      <c r="O49" s="53">
        <v>2.2200000000000001E-2</v>
      </c>
      <c r="P49" s="53">
        <v>0.10199999999999999</v>
      </c>
      <c r="Q49" s="53">
        <v>0.27979999999999999</v>
      </c>
      <c r="R49" s="53">
        <v>5.9999999999999995E-4</v>
      </c>
    </row>
    <row r="50" spans="2:18" s="35" customFormat="1" x14ac:dyDescent="0.2">
      <c r="B50" s="28" t="s">
        <v>73</v>
      </c>
      <c r="C50" s="53">
        <v>2.4900000000000002</v>
      </c>
      <c r="D50" s="53">
        <v>0.249</v>
      </c>
      <c r="E50" s="53">
        <v>0.40699999999999997</v>
      </c>
      <c r="F50" s="53">
        <v>0.49099999999999999</v>
      </c>
      <c r="G50" s="53">
        <v>0.52500000000000002</v>
      </c>
      <c r="H50" s="53">
        <v>0.21299999999999999</v>
      </c>
      <c r="I50" s="53">
        <v>0.54300000000000004</v>
      </c>
      <c r="J50" s="53">
        <v>6.2E-2</v>
      </c>
      <c r="K50" s="53">
        <v>2.9125999999999999</v>
      </c>
      <c r="L50" s="53">
        <v>8.3099999999999993E-2</v>
      </c>
      <c r="M50" s="53">
        <v>1.1516</v>
      </c>
      <c r="N50" s="53">
        <v>0.8982</v>
      </c>
      <c r="O50" s="53">
        <v>9.8699999999999996E-2</v>
      </c>
      <c r="P50" s="53">
        <v>8.3199999999999996E-2</v>
      </c>
      <c r="Q50" s="53">
        <v>0.59789999999999999</v>
      </c>
      <c r="R50" s="53">
        <v>0</v>
      </c>
    </row>
    <row r="51" spans="2:18" s="35" customFormat="1" x14ac:dyDescent="0.2">
      <c r="B51" s="28" t="s">
        <v>74</v>
      </c>
      <c r="C51" s="53">
        <v>3.093</v>
      </c>
      <c r="D51" s="53">
        <v>0.54400000000000004</v>
      </c>
      <c r="E51" s="53">
        <v>0.79800000000000004</v>
      </c>
      <c r="F51" s="53">
        <v>0.30199999999999999</v>
      </c>
      <c r="G51" s="53">
        <v>0.72499999999999998</v>
      </c>
      <c r="H51" s="53">
        <v>0.19500000000000001</v>
      </c>
      <c r="I51" s="53">
        <v>0.41899999999999998</v>
      </c>
      <c r="J51" s="53">
        <v>0.11</v>
      </c>
      <c r="K51" s="53">
        <v>6.5140000000000002</v>
      </c>
      <c r="L51" s="53">
        <v>0.5151</v>
      </c>
      <c r="M51" s="53">
        <v>2.2684000000000002</v>
      </c>
      <c r="N51" s="53">
        <v>1.7002999999999999</v>
      </c>
      <c r="O51" s="53">
        <v>0.22939999999999999</v>
      </c>
      <c r="P51" s="53">
        <v>7.17E-2</v>
      </c>
      <c r="Q51" s="53">
        <v>1.7274</v>
      </c>
      <c r="R51" s="53">
        <v>1.8E-3</v>
      </c>
    </row>
    <row r="52" spans="2:18" s="35" customFormat="1" x14ac:dyDescent="0.2">
      <c r="B52" s="28" t="s">
        <v>75</v>
      </c>
      <c r="C52" s="53">
        <v>5.6219999999999999</v>
      </c>
      <c r="D52" s="53">
        <v>1.5640000000000001</v>
      </c>
      <c r="E52" s="53">
        <v>0.84499999999999997</v>
      </c>
      <c r="F52" s="53">
        <v>1.1850000000000001</v>
      </c>
      <c r="G52" s="53">
        <v>0.86799999999999999</v>
      </c>
      <c r="H52" s="53">
        <v>0.29899999999999999</v>
      </c>
      <c r="I52" s="53">
        <v>0.84799999999999998</v>
      </c>
      <c r="J52" s="53">
        <v>1.4999999999999999E-2</v>
      </c>
      <c r="K52" s="53">
        <v>8.3712</v>
      </c>
      <c r="L52" s="53">
        <v>0.57920000000000005</v>
      </c>
      <c r="M52" s="53">
        <v>2.1991000000000001</v>
      </c>
      <c r="N52" s="53">
        <v>2.0964</v>
      </c>
      <c r="O52" s="53">
        <v>0.64990000000000003</v>
      </c>
      <c r="P52" s="53">
        <v>0.42970000000000003</v>
      </c>
      <c r="Q52" s="53">
        <v>2.4140999999999999</v>
      </c>
      <c r="R52" s="53">
        <v>2.7000000000000001E-3</v>
      </c>
    </row>
    <row r="53" spans="2:18" s="35" customFormat="1" x14ac:dyDescent="0.2">
      <c r="B53" s="52" t="s">
        <v>137</v>
      </c>
      <c r="C53" s="53">
        <v>0.21</v>
      </c>
      <c r="D53" s="53">
        <v>2.4E-2</v>
      </c>
      <c r="E53" s="53" t="s">
        <v>138</v>
      </c>
      <c r="F53" s="53" t="s">
        <v>138</v>
      </c>
      <c r="G53" s="53">
        <v>0.186</v>
      </c>
      <c r="H53" s="53" t="s">
        <v>138</v>
      </c>
      <c r="I53" s="53" t="s">
        <v>138</v>
      </c>
      <c r="J53" s="53" t="s">
        <v>138</v>
      </c>
      <c r="K53" s="53">
        <v>0.90690000000000004</v>
      </c>
      <c r="L53" s="53">
        <v>0.20760000000000001</v>
      </c>
      <c r="M53" s="53" t="s">
        <v>138</v>
      </c>
      <c r="N53" s="53" t="s">
        <v>138</v>
      </c>
      <c r="O53" s="53">
        <v>0.69940000000000002</v>
      </c>
      <c r="P53" s="53" t="s">
        <v>138</v>
      </c>
      <c r="Q53" s="53" t="s">
        <v>138</v>
      </c>
      <c r="R53" s="53" t="s">
        <v>138</v>
      </c>
    </row>
    <row r="54" spans="2:18" s="35" customFormat="1" x14ac:dyDescent="0.2">
      <c r="B54" s="34"/>
      <c r="C54" s="34"/>
      <c r="K54" s="34"/>
      <c r="L54" s="34"/>
      <c r="M54" s="34"/>
      <c r="N54" s="34"/>
      <c r="O54" s="34"/>
      <c r="P54" s="34"/>
      <c r="Q54" s="34"/>
      <c r="R54" s="34"/>
    </row>
    <row r="55" spans="2:18" s="35" customFormat="1" x14ac:dyDescent="0.2">
      <c r="B55" s="34"/>
      <c r="C55" s="34"/>
      <c r="K55" s="34"/>
    </row>
    <row r="56" spans="2:18" s="35" customFormat="1" ht="13.5" x14ac:dyDescent="0.2">
      <c r="B56" s="38" t="s">
        <v>144</v>
      </c>
      <c r="C56" s="39">
        <v>2.0750000000000002</v>
      </c>
      <c r="D56" s="40">
        <v>0.152</v>
      </c>
      <c r="E56" s="41">
        <v>0.52400000000000002</v>
      </c>
      <c r="F56" s="41">
        <v>0.379</v>
      </c>
      <c r="G56" s="41">
        <v>0.318</v>
      </c>
      <c r="H56" s="41">
        <v>0.29799999999999999</v>
      </c>
      <c r="I56" s="41">
        <v>0.39400000000000002</v>
      </c>
      <c r="J56" s="42">
        <v>0.01</v>
      </c>
      <c r="K56" s="39">
        <v>6.0182392459010972</v>
      </c>
      <c r="L56" s="40">
        <v>0.30591854260771101</v>
      </c>
      <c r="M56" s="41">
        <v>1.4934595869500853</v>
      </c>
      <c r="N56" s="41">
        <v>1.3004022024485933</v>
      </c>
      <c r="O56" s="41">
        <v>0.13081867623295279</v>
      </c>
      <c r="P56" s="41">
        <v>0.19727633463227129</v>
      </c>
      <c r="Q56" s="41">
        <v>2.5871486709484408</v>
      </c>
      <c r="R56" s="42">
        <v>3.2152320810433046E-3</v>
      </c>
    </row>
    <row r="57" spans="2:18" s="35" customFormat="1" ht="13.5" x14ac:dyDescent="0.2">
      <c r="B57" s="43" t="s">
        <v>145</v>
      </c>
      <c r="C57" s="44">
        <v>2.2959999999999998</v>
      </c>
      <c r="D57" s="45">
        <v>0.17799999999999999</v>
      </c>
      <c r="E57" s="46">
        <v>0.68300000000000005</v>
      </c>
      <c r="F57" s="46">
        <v>0.33800000000000002</v>
      </c>
      <c r="G57" s="46">
        <v>0.48499999999999999</v>
      </c>
      <c r="H57" s="46">
        <v>0.187</v>
      </c>
      <c r="I57" s="46">
        <v>0.40699999999999997</v>
      </c>
      <c r="J57" s="47">
        <v>1.7000000000000001E-2</v>
      </c>
      <c r="K57" s="44">
        <v>3.8643833860072863</v>
      </c>
      <c r="L57" s="45">
        <v>0.3641064433652953</v>
      </c>
      <c r="M57" s="46">
        <v>1.2942890762075214</v>
      </c>
      <c r="N57" s="46">
        <v>0.91160197059405479</v>
      </c>
      <c r="O57" s="46">
        <v>6.4295338285817447E-2</v>
      </c>
      <c r="P57" s="46">
        <v>0.39461129715330845</v>
      </c>
      <c r="Q57" s="46">
        <v>0.83385774608434005</v>
      </c>
      <c r="R57" s="47">
        <v>1.6215143169486753E-3</v>
      </c>
    </row>
    <row r="58" spans="2:18" s="35" customFormat="1" x14ac:dyDescent="0.2">
      <c r="B58" s="34"/>
      <c r="C58" s="34"/>
      <c r="K58" s="34"/>
      <c r="L58" s="34"/>
      <c r="M58" s="34"/>
      <c r="N58" s="34"/>
      <c r="O58" s="34"/>
      <c r="P58" s="34"/>
      <c r="Q58" s="34"/>
      <c r="R58" s="34"/>
    </row>
    <row r="59" spans="2:18" s="35" customFormat="1" x14ac:dyDescent="0.2">
      <c r="B59" s="34"/>
      <c r="C59" s="34"/>
      <c r="K59" s="34"/>
      <c r="L59" s="34"/>
      <c r="M59" s="34"/>
      <c r="N59" s="34"/>
      <c r="O59" s="34"/>
      <c r="P59" s="34"/>
      <c r="Q59" s="34"/>
      <c r="R59" s="34"/>
    </row>
    <row r="60" spans="2:18" s="35" customFormat="1" x14ac:dyDescent="0.2">
      <c r="B60" s="34"/>
      <c r="C60" s="34"/>
      <c r="K60" s="34"/>
      <c r="L60" s="34"/>
      <c r="M60" s="34"/>
      <c r="N60" s="34"/>
      <c r="O60" s="34"/>
      <c r="P60" s="34"/>
      <c r="Q60" s="34"/>
      <c r="R60" s="34"/>
    </row>
    <row r="62" spans="2:18" s="35" customFormat="1" x14ac:dyDescent="0.2">
      <c r="B62" s="34"/>
      <c r="C62" s="34"/>
      <c r="D62" s="48">
        <f t="shared" ref="D62:J62" si="0">AVERAGE(D6:D52)</f>
        <v>0.23040425531914896</v>
      </c>
      <c r="E62" s="48">
        <f t="shared" si="0"/>
        <v>0.62280851063829801</v>
      </c>
      <c r="F62" s="48">
        <f t="shared" si="0"/>
        <v>0.36561702127659579</v>
      </c>
      <c r="G62" s="48">
        <f t="shared" si="0"/>
        <v>0.47421276595744688</v>
      </c>
      <c r="H62" s="48">
        <f t="shared" si="0"/>
        <v>0.19025531914893615</v>
      </c>
      <c r="I62" s="48">
        <f t="shared" si="0"/>
        <v>0.41597872340425535</v>
      </c>
      <c r="J62" s="48">
        <f t="shared" si="0"/>
        <v>1.8340425531914895E-2</v>
      </c>
      <c r="K62" s="34"/>
      <c r="L62" s="48">
        <f t="shared" ref="L62:R62" si="1">AVERAGE(L6:L52)</f>
        <v>0.41475106382978733</v>
      </c>
      <c r="M62" s="48">
        <f t="shared" si="1"/>
        <v>1.4106468085106387</v>
      </c>
      <c r="N62" s="48">
        <f t="shared" si="1"/>
        <v>1.0511808510638299</v>
      </c>
      <c r="O62" s="48">
        <f t="shared" si="1"/>
        <v>9.5295744680851086E-2</v>
      </c>
      <c r="P62" s="48">
        <f t="shared" si="1"/>
        <v>0.29483191489361699</v>
      </c>
      <c r="Q62" s="48">
        <f t="shared" si="1"/>
        <v>1.0515723404255319</v>
      </c>
      <c r="R62" s="48">
        <f t="shared" si="1"/>
        <v>1.9340425531914893E-3</v>
      </c>
    </row>
  </sheetData>
  <mergeCells count="7">
    <mergeCell ref="B3:B5"/>
    <mergeCell ref="C4:C5"/>
    <mergeCell ref="D4:J4"/>
    <mergeCell ref="K4:K5"/>
    <mergeCell ref="L4:R4"/>
    <mergeCell ref="C3:J3"/>
    <mergeCell ref="K3:R3"/>
  </mergeCells>
  <phoneticPr fontId="3"/>
  <pageMargins left="0.7" right="0.7" top="0.75" bottom="0.75" header="0.3" footer="0.3"/>
  <pageSetup paperSize="9" scale="6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84B12-E2D5-44F1-9396-E78F3354C40D}">
  <dimension ref="A1:AO45"/>
  <sheetViews>
    <sheetView workbookViewId="0">
      <pane xSplit="2" ySplit="3" topLeftCell="AI15" activePane="bottomRight" state="frozen"/>
      <selection activeCell="D202" sqref="D202"/>
      <selection pane="topRight" activeCell="D202" sqref="D202"/>
      <selection pane="bottomLeft" activeCell="D202" sqref="D202"/>
      <selection pane="bottomRight" activeCell="D202" sqref="D202"/>
    </sheetView>
  </sheetViews>
  <sheetFormatPr defaultColWidth="16.140625" defaultRowHeight="12" x14ac:dyDescent="0.2"/>
  <cols>
    <col min="1" max="16384" width="16.140625" style="79"/>
  </cols>
  <sheetData>
    <row r="1" spans="1:41" ht="13.5" x14ac:dyDescent="0.2">
      <c r="C1" s="193" t="s">
        <v>494</v>
      </c>
      <c r="D1" s="193"/>
      <c r="E1" s="193"/>
      <c r="F1" s="193"/>
      <c r="G1" s="193"/>
      <c r="H1" s="193"/>
    </row>
    <row r="2" spans="1:41" x14ac:dyDescent="0.2">
      <c r="A2" s="80"/>
      <c r="B2" s="81"/>
      <c r="C2" s="80" t="s">
        <v>406</v>
      </c>
      <c r="D2" s="81" t="s">
        <v>408</v>
      </c>
      <c r="E2" s="81" t="s">
        <v>410</v>
      </c>
      <c r="F2" s="81" t="s">
        <v>412</v>
      </c>
      <c r="G2" s="81" t="s">
        <v>414</v>
      </c>
      <c r="H2" s="81" t="s">
        <v>416</v>
      </c>
      <c r="I2" s="81" t="s">
        <v>418</v>
      </c>
      <c r="J2" s="81" t="s">
        <v>420</v>
      </c>
      <c r="K2" s="81" t="s">
        <v>422</v>
      </c>
      <c r="L2" s="81" t="s">
        <v>424</v>
      </c>
      <c r="M2" s="81" t="s">
        <v>426</v>
      </c>
      <c r="N2" s="81" t="s">
        <v>428</v>
      </c>
      <c r="O2" s="81" t="s">
        <v>430</v>
      </c>
      <c r="P2" s="81" t="s">
        <v>432</v>
      </c>
      <c r="Q2" s="81" t="s">
        <v>434</v>
      </c>
      <c r="R2" s="81" t="s">
        <v>436</v>
      </c>
      <c r="S2" s="81" t="s">
        <v>438</v>
      </c>
      <c r="T2" s="81" t="s">
        <v>440</v>
      </c>
      <c r="U2" s="81" t="s">
        <v>442</v>
      </c>
      <c r="V2" s="81" t="s">
        <v>444</v>
      </c>
      <c r="W2" s="81" t="s">
        <v>446</v>
      </c>
      <c r="X2" s="81" t="s">
        <v>448</v>
      </c>
      <c r="Y2" s="81" t="s">
        <v>450</v>
      </c>
      <c r="Z2" s="81" t="s">
        <v>452</v>
      </c>
      <c r="AA2" s="81" t="s">
        <v>454</v>
      </c>
      <c r="AB2" s="81" t="s">
        <v>455</v>
      </c>
      <c r="AC2" s="81" t="s">
        <v>456</v>
      </c>
      <c r="AD2" s="81" t="s">
        <v>458</v>
      </c>
      <c r="AE2" s="81" t="s">
        <v>459</v>
      </c>
      <c r="AF2" s="81" t="s">
        <v>460</v>
      </c>
      <c r="AG2" s="81" t="s">
        <v>462</v>
      </c>
      <c r="AH2" s="81" t="s">
        <v>464</v>
      </c>
      <c r="AI2" s="81" t="s">
        <v>466</v>
      </c>
      <c r="AJ2" s="81" t="s">
        <v>468</v>
      </c>
      <c r="AK2" s="81" t="s">
        <v>469</v>
      </c>
      <c r="AL2" s="81" t="s">
        <v>470</v>
      </c>
      <c r="AM2" s="82" t="s">
        <v>472</v>
      </c>
      <c r="AN2" s="83"/>
      <c r="AO2" s="83"/>
    </row>
    <row r="3" spans="1:41" x14ac:dyDescent="0.2">
      <c r="A3" s="84"/>
      <c r="B3" s="85"/>
      <c r="C3" s="84" t="s">
        <v>407</v>
      </c>
      <c r="D3" s="85" t="s">
        <v>409</v>
      </c>
      <c r="E3" s="85" t="s">
        <v>411</v>
      </c>
      <c r="F3" s="85" t="s">
        <v>413</v>
      </c>
      <c r="G3" s="85" t="s">
        <v>415</v>
      </c>
      <c r="H3" s="85" t="s">
        <v>417</v>
      </c>
      <c r="I3" s="85" t="s">
        <v>419</v>
      </c>
      <c r="J3" s="85" t="s">
        <v>421</v>
      </c>
      <c r="K3" s="85" t="s">
        <v>423</v>
      </c>
      <c r="L3" s="85" t="s">
        <v>425</v>
      </c>
      <c r="M3" s="85" t="s">
        <v>427</v>
      </c>
      <c r="N3" s="85" t="s">
        <v>429</v>
      </c>
      <c r="O3" s="85" t="s">
        <v>431</v>
      </c>
      <c r="P3" s="85" t="s">
        <v>433</v>
      </c>
      <c r="Q3" s="85" t="s">
        <v>435</v>
      </c>
      <c r="R3" s="85" t="s">
        <v>437</v>
      </c>
      <c r="S3" s="85" t="s">
        <v>439</v>
      </c>
      <c r="T3" s="85" t="s">
        <v>441</v>
      </c>
      <c r="U3" s="85" t="s">
        <v>443</v>
      </c>
      <c r="V3" s="85" t="s">
        <v>445</v>
      </c>
      <c r="W3" s="85" t="s">
        <v>447</v>
      </c>
      <c r="X3" s="85" t="s">
        <v>449</v>
      </c>
      <c r="Y3" s="85" t="s">
        <v>451</v>
      </c>
      <c r="Z3" s="85" t="s">
        <v>453</v>
      </c>
      <c r="AA3" s="85" t="s">
        <v>395</v>
      </c>
      <c r="AB3" s="85" t="s">
        <v>383</v>
      </c>
      <c r="AC3" s="85" t="s">
        <v>457</v>
      </c>
      <c r="AD3" s="85" t="s">
        <v>384</v>
      </c>
      <c r="AE3" s="85" t="s">
        <v>380</v>
      </c>
      <c r="AF3" s="85" t="s">
        <v>461</v>
      </c>
      <c r="AG3" s="85" t="s">
        <v>463</v>
      </c>
      <c r="AH3" s="85" t="s">
        <v>465</v>
      </c>
      <c r="AI3" s="85" t="s">
        <v>467</v>
      </c>
      <c r="AJ3" s="85" t="s">
        <v>385</v>
      </c>
      <c r="AK3" s="85" t="s">
        <v>386</v>
      </c>
      <c r="AL3" s="85" t="s">
        <v>471</v>
      </c>
      <c r="AM3" s="86" t="s">
        <v>387</v>
      </c>
      <c r="AN3" s="87" t="s">
        <v>495</v>
      </c>
      <c r="AO3" s="87" t="s">
        <v>496</v>
      </c>
    </row>
    <row r="4" spans="1:41" x14ac:dyDescent="0.2">
      <c r="A4" s="80" t="s">
        <v>406</v>
      </c>
      <c r="B4" s="81" t="s">
        <v>407</v>
      </c>
      <c r="C4" s="88">
        <v>1.13478166</v>
      </c>
      <c r="D4" s="89">
        <v>5.9582999999999999E-4</v>
      </c>
      <c r="E4" s="89">
        <v>0.21509837000000001</v>
      </c>
      <c r="F4" s="89">
        <v>9.8536500000000003E-3</v>
      </c>
      <c r="G4" s="89">
        <v>3.8068560000000001E-2</v>
      </c>
      <c r="H4" s="89">
        <v>4.66731E-3</v>
      </c>
      <c r="I4" s="89">
        <v>6.9560000000000005E-5</v>
      </c>
      <c r="J4" s="89">
        <v>1.395301E-2</v>
      </c>
      <c r="K4" s="89">
        <v>1.42621E-3</v>
      </c>
      <c r="L4" s="89">
        <v>3.8927999999999999E-4</v>
      </c>
      <c r="M4" s="89">
        <v>7.6776999999999998E-4</v>
      </c>
      <c r="N4" s="89">
        <v>5.0798E-4</v>
      </c>
      <c r="O4" s="89">
        <v>5.5369000000000002E-4</v>
      </c>
      <c r="P4" s="89">
        <v>6.4183999999999997E-4</v>
      </c>
      <c r="Q4" s="89">
        <v>1.10633E-3</v>
      </c>
      <c r="R4" s="89">
        <v>9.3566999999999999E-4</v>
      </c>
      <c r="S4" s="89">
        <v>1.16994E-3</v>
      </c>
      <c r="T4" s="89">
        <v>1.1576100000000001E-3</v>
      </c>
      <c r="U4" s="89">
        <v>1.16423E-3</v>
      </c>
      <c r="V4" s="89">
        <v>1.125757E-2</v>
      </c>
      <c r="W4" s="89">
        <v>2.9969300000000001E-3</v>
      </c>
      <c r="X4" s="89">
        <v>3.7132000000000002E-4</v>
      </c>
      <c r="Y4" s="89">
        <v>1.08179E-3</v>
      </c>
      <c r="Z4" s="89">
        <v>6.0692000000000005E-4</v>
      </c>
      <c r="AA4" s="89">
        <v>7.8266999999999996E-4</v>
      </c>
      <c r="AB4" s="89">
        <v>6.2407000000000001E-4</v>
      </c>
      <c r="AC4" s="89">
        <v>1.6050999999999999E-4</v>
      </c>
      <c r="AD4" s="89">
        <v>6.0510999999999996E-4</v>
      </c>
      <c r="AE4" s="89">
        <v>1.6225199999999999E-3</v>
      </c>
      <c r="AF4" s="89">
        <v>5.2939999999999997E-4</v>
      </c>
      <c r="AG4" s="89">
        <v>3.76932E-3</v>
      </c>
      <c r="AH4" s="89">
        <v>5.6988200000000003E-3</v>
      </c>
      <c r="AI4" s="89">
        <v>3.7685000000000001E-3</v>
      </c>
      <c r="AJ4" s="89">
        <v>7.2669E-4</v>
      </c>
      <c r="AK4" s="89">
        <v>4.5362569999999998E-2</v>
      </c>
      <c r="AL4" s="89">
        <v>1.553475E-2</v>
      </c>
      <c r="AM4" s="90">
        <v>1.14718E-3</v>
      </c>
      <c r="AN4" s="91">
        <v>1.5235551199999999</v>
      </c>
      <c r="AO4" s="91">
        <v>0.85853919000000001</v>
      </c>
    </row>
    <row r="5" spans="1:41" x14ac:dyDescent="0.2">
      <c r="A5" s="92" t="s">
        <v>408</v>
      </c>
      <c r="B5" s="79" t="s">
        <v>409</v>
      </c>
      <c r="C5" s="88">
        <v>9.1971999999999996E-4</v>
      </c>
      <c r="D5" s="89">
        <v>1.0017130999999999</v>
      </c>
      <c r="E5" s="89">
        <v>8.1251999999999995E-4</v>
      </c>
      <c r="F5" s="89">
        <v>1.09235E-3</v>
      </c>
      <c r="G5" s="89">
        <v>1.65164E-3</v>
      </c>
      <c r="H5" s="89">
        <v>3.14701E-3</v>
      </c>
      <c r="I5" s="89">
        <v>2.3654069999999999E-2</v>
      </c>
      <c r="J5" s="89">
        <v>1.38043E-3</v>
      </c>
      <c r="K5" s="89">
        <v>4.4121500000000001E-3</v>
      </c>
      <c r="L5" s="89">
        <v>6.2209199999999996E-3</v>
      </c>
      <c r="M5" s="89">
        <v>8.4073800000000008E-3</v>
      </c>
      <c r="N5" s="89">
        <v>2.41676E-3</v>
      </c>
      <c r="O5" s="89">
        <v>1.5698800000000001E-3</v>
      </c>
      <c r="P5" s="89">
        <v>1.2868199999999999E-3</v>
      </c>
      <c r="Q5" s="89">
        <v>1.0592799999999999E-3</v>
      </c>
      <c r="R5" s="89">
        <v>1.3165900000000001E-3</v>
      </c>
      <c r="S5" s="89">
        <v>1.2922299999999999E-3</v>
      </c>
      <c r="T5" s="89">
        <v>9.0032999999999997E-4</v>
      </c>
      <c r="U5" s="89">
        <v>1.4906400000000001E-3</v>
      </c>
      <c r="V5" s="89">
        <v>1.0338700000000001E-3</v>
      </c>
      <c r="W5" s="89">
        <v>1.4318099999999999E-3</v>
      </c>
      <c r="X5" s="89">
        <v>1.41653E-2</v>
      </c>
      <c r="Y5" s="89">
        <v>1.21857E-3</v>
      </c>
      <c r="Z5" s="89">
        <v>1.5540899999999999E-3</v>
      </c>
      <c r="AA5" s="89">
        <v>5.8312000000000001E-4</v>
      </c>
      <c r="AB5" s="89">
        <v>2.8242000000000002E-4</v>
      </c>
      <c r="AC5" s="89">
        <v>1.2504000000000001E-4</v>
      </c>
      <c r="AD5" s="89">
        <v>2.5255999999999998E-3</v>
      </c>
      <c r="AE5" s="89">
        <v>3.6414999999999999E-4</v>
      </c>
      <c r="AF5" s="89">
        <v>6.1711000000000003E-4</v>
      </c>
      <c r="AG5" s="89">
        <v>5.5595999999999998E-4</v>
      </c>
      <c r="AH5" s="89">
        <v>6.9802000000000004E-4</v>
      </c>
      <c r="AI5" s="89">
        <v>4.2084000000000002E-4</v>
      </c>
      <c r="AJ5" s="89">
        <v>3.5854000000000002E-4</v>
      </c>
      <c r="AK5" s="89">
        <v>9.7338000000000004E-4</v>
      </c>
      <c r="AL5" s="89">
        <v>1.1021399999999999E-3</v>
      </c>
      <c r="AM5" s="90">
        <v>1.0111899999999999E-3</v>
      </c>
      <c r="AN5" s="91">
        <v>1.0937649599999999</v>
      </c>
      <c r="AO5" s="91">
        <v>0.61634796000000003</v>
      </c>
    </row>
    <row r="6" spans="1:41" x14ac:dyDescent="0.2">
      <c r="A6" s="92" t="s">
        <v>410</v>
      </c>
      <c r="B6" s="79" t="s">
        <v>411</v>
      </c>
      <c r="C6" s="88">
        <v>0.12815020999999999</v>
      </c>
      <c r="D6" s="89">
        <v>4.5838999999999998E-4</v>
      </c>
      <c r="E6" s="89">
        <v>1.2020475799999999</v>
      </c>
      <c r="F6" s="89">
        <v>4.6036000000000002E-3</v>
      </c>
      <c r="G6" s="89">
        <v>7.00776E-3</v>
      </c>
      <c r="H6" s="89">
        <v>1.007516E-2</v>
      </c>
      <c r="I6" s="89">
        <v>6.5749999999999999E-5</v>
      </c>
      <c r="J6" s="89">
        <v>3.4236399999999999E-3</v>
      </c>
      <c r="K6" s="89">
        <v>1.1707600000000001E-3</v>
      </c>
      <c r="L6" s="89">
        <v>2.9398E-4</v>
      </c>
      <c r="M6" s="89">
        <v>4.4630000000000001E-4</v>
      </c>
      <c r="N6" s="89">
        <v>3.3729000000000002E-4</v>
      </c>
      <c r="O6" s="89">
        <v>3.3961000000000001E-4</v>
      </c>
      <c r="P6" s="89">
        <v>3.5435000000000002E-4</v>
      </c>
      <c r="Q6" s="89">
        <v>5.465E-4</v>
      </c>
      <c r="R6" s="89">
        <v>5.3156000000000004E-4</v>
      </c>
      <c r="S6" s="89">
        <v>5.4881000000000005E-4</v>
      </c>
      <c r="T6" s="89">
        <v>5.3759000000000001E-4</v>
      </c>
      <c r="U6" s="89">
        <v>5.4226999999999997E-4</v>
      </c>
      <c r="V6" s="89">
        <v>5.1865599999999998E-3</v>
      </c>
      <c r="W6" s="89">
        <v>8.2991E-4</v>
      </c>
      <c r="X6" s="89">
        <v>2.2586000000000001E-4</v>
      </c>
      <c r="Y6" s="89">
        <v>5.9298E-4</v>
      </c>
      <c r="Z6" s="89">
        <v>4.1863000000000002E-4</v>
      </c>
      <c r="AA6" s="89">
        <v>5.7233000000000002E-4</v>
      </c>
      <c r="AB6" s="89">
        <v>3.9430999999999998E-4</v>
      </c>
      <c r="AC6" s="89">
        <v>1.4939E-4</v>
      </c>
      <c r="AD6" s="89">
        <v>5.7319999999999995E-4</v>
      </c>
      <c r="AE6" s="89">
        <v>2.09654E-3</v>
      </c>
      <c r="AF6" s="89">
        <v>6.4216999999999996E-4</v>
      </c>
      <c r="AG6" s="89">
        <v>6.56801E-3</v>
      </c>
      <c r="AH6" s="89">
        <v>1.1777910000000001E-2</v>
      </c>
      <c r="AI6" s="89">
        <v>2.6078500000000001E-3</v>
      </c>
      <c r="AJ6" s="89">
        <v>6.2518999999999997E-4</v>
      </c>
      <c r="AK6" s="89">
        <v>0.13570892000000001</v>
      </c>
      <c r="AL6" s="89">
        <v>3.4486199999999999E-3</v>
      </c>
      <c r="AM6" s="90">
        <v>3.7963599999999999E-3</v>
      </c>
      <c r="AN6" s="91">
        <v>1.53769585</v>
      </c>
      <c r="AO6" s="91">
        <v>0.86650764000000002</v>
      </c>
    </row>
    <row r="7" spans="1:41" x14ac:dyDescent="0.2">
      <c r="A7" s="92" t="s">
        <v>412</v>
      </c>
      <c r="B7" s="79" t="s">
        <v>413</v>
      </c>
      <c r="C7" s="88">
        <v>3.2241100000000001E-3</v>
      </c>
      <c r="D7" s="89">
        <v>2.0666399999999998E-3</v>
      </c>
      <c r="E7" s="89">
        <v>1.5524499999999999E-3</v>
      </c>
      <c r="F7" s="89">
        <v>1.0941617400000001</v>
      </c>
      <c r="G7" s="89">
        <v>4.0424399999999996E-3</v>
      </c>
      <c r="H7" s="89">
        <v>1.0146000000000001E-3</v>
      </c>
      <c r="I7" s="89">
        <v>1.2680999999999999E-4</v>
      </c>
      <c r="J7" s="89">
        <v>3.1773299999999999E-3</v>
      </c>
      <c r="K7" s="89">
        <v>1.82577E-3</v>
      </c>
      <c r="L7" s="89">
        <v>5.9685000000000001E-4</v>
      </c>
      <c r="M7" s="89">
        <v>8.6817999999999997E-4</v>
      </c>
      <c r="N7" s="89">
        <v>9.7369000000000004E-4</v>
      </c>
      <c r="O7" s="89">
        <v>9.9479999999999989E-4</v>
      </c>
      <c r="P7" s="89">
        <v>1.1083499999999999E-3</v>
      </c>
      <c r="Q7" s="89">
        <v>1.2038999999999999E-3</v>
      </c>
      <c r="R7" s="89">
        <v>2.2654699999999999E-3</v>
      </c>
      <c r="S7" s="89">
        <v>1.80484E-3</v>
      </c>
      <c r="T7" s="89">
        <v>1.5575700000000001E-3</v>
      </c>
      <c r="U7" s="89">
        <v>1.7633799999999999E-3</v>
      </c>
      <c r="V7" s="89">
        <v>2.7135699999999998E-3</v>
      </c>
      <c r="W7" s="89">
        <v>1.9921800000000001E-3</v>
      </c>
      <c r="X7" s="89">
        <v>3.9369999999999997E-4</v>
      </c>
      <c r="Y7" s="89">
        <v>1.0893599999999999E-3</v>
      </c>
      <c r="Z7" s="89">
        <v>1.15237E-3</v>
      </c>
      <c r="AA7" s="89">
        <v>2.0179199999999999E-3</v>
      </c>
      <c r="AB7" s="89">
        <v>1.0298799999999999E-3</v>
      </c>
      <c r="AC7" s="89">
        <v>1.6605999999999999E-4</v>
      </c>
      <c r="AD7" s="89">
        <v>1.14215E-3</v>
      </c>
      <c r="AE7" s="89">
        <v>1.0291199999999999E-3</v>
      </c>
      <c r="AF7" s="89">
        <v>1.66814E-3</v>
      </c>
      <c r="AG7" s="89">
        <v>5.886E-4</v>
      </c>
      <c r="AH7" s="89">
        <v>1.6291400000000001E-3</v>
      </c>
      <c r="AI7" s="89">
        <v>1.0590270000000001E-2</v>
      </c>
      <c r="AJ7" s="89">
        <v>1.2780300000000001E-3</v>
      </c>
      <c r="AK7" s="89">
        <v>2.0978799999999999E-3</v>
      </c>
      <c r="AL7" s="89">
        <v>1.018842E-2</v>
      </c>
      <c r="AM7" s="90">
        <v>9.9204999999999996E-4</v>
      </c>
      <c r="AN7" s="91">
        <v>1.1660877599999999</v>
      </c>
      <c r="AO7" s="91">
        <v>0.65710261000000003</v>
      </c>
    </row>
    <row r="8" spans="1:41" x14ac:dyDescent="0.2">
      <c r="A8" s="92" t="s">
        <v>414</v>
      </c>
      <c r="B8" s="79" t="s">
        <v>415</v>
      </c>
      <c r="C8" s="88">
        <v>3.331742E-2</v>
      </c>
      <c r="D8" s="89">
        <v>7.84113E-3</v>
      </c>
      <c r="E8" s="89">
        <v>3.1523469999999998E-2</v>
      </c>
      <c r="F8" s="89">
        <v>1.4022679999999999E-2</v>
      </c>
      <c r="G8" s="89">
        <v>1.3114247800000001</v>
      </c>
      <c r="H8" s="89">
        <v>2.4004850000000001E-2</v>
      </c>
      <c r="I8" s="89">
        <v>8.8593999999999999E-4</v>
      </c>
      <c r="J8" s="89">
        <v>1.5965210000000001E-2</v>
      </c>
      <c r="K8" s="89">
        <v>2.7593240000000002E-2</v>
      </c>
      <c r="L8" s="89">
        <v>5.0940400000000002E-3</v>
      </c>
      <c r="M8" s="89">
        <v>9.5489200000000007E-3</v>
      </c>
      <c r="N8" s="89">
        <v>8.3500899999999992E-3</v>
      </c>
      <c r="O8" s="89">
        <v>6.5202599999999999E-3</v>
      </c>
      <c r="P8" s="89">
        <v>6.0700900000000002E-3</v>
      </c>
      <c r="Q8" s="89">
        <v>1.201814E-2</v>
      </c>
      <c r="R8" s="89">
        <v>1.347862E-2</v>
      </c>
      <c r="S8" s="89">
        <v>1.4397689999999999E-2</v>
      </c>
      <c r="T8" s="89">
        <v>1.322834E-2</v>
      </c>
      <c r="U8" s="89">
        <v>7.8097000000000001E-3</v>
      </c>
      <c r="V8" s="89">
        <v>0.10076952</v>
      </c>
      <c r="W8" s="89">
        <v>5.6251299999999997E-2</v>
      </c>
      <c r="X8" s="89">
        <v>6.7203499999999999E-3</v>
      </c>
      <c r="Y8" s="89">
        <v>1.0639060000000001E-2</v>
      </c>
      <c r="Z8" s="89">
        <v>8.7485299999999992E-3</v>
      </c>
      <c r="AA8" s="89">
        <v>1.306599E-2</v>
      </c>
      <c r="AB8" s="89">
        <v>1.126373E-2</v>
      </c>
      <c r="AC8" s="89">
        <v>2.46219E-3</v>
      </c>
      <c r="AD8" s="89">
        <v>9.8144300000000007E-3</v>
      </c>
      <c r="AE8" s="89">
        <v>2.4049709999999998E-2</v>
      </c>
      <c r="AF8" s="89">
        <v>6.6186300000000003E-3</v>
      </c>
      <c r="AG8" s="89">
        <v>1.325761E-2</v>
      </c>
      <c r="AH8" s="89">
        <v>1.2388339999999999E-2</v>
      </c>
      <c r="AI8" s="89">
        <v>2.9421449999999998E-2</v>
      </c>
      <c r="AJ8" s="89">
        <v>9.5111499999999995E-3</v>
      </c>
      <c r="AK8" s="89">
        <v>1.4987149999999999E-2</v>
      </c>
      <c r="AL8" s="89">
        <v>0.47781149000000001</v>
      </c>
      <c r="AM8" s="90">
        <v>7.2071499999999998E-3</v>
      </c>
      <c r="AN8" s="91">
        <v>2.3780824100000002</v>
      </c>
      <c r="AO8" s="91">
        <v>1.3400742299999999</v>
      </c>
    </row>
    <row r="9" spans="1:41" x14ac:dyDescent="0.2">
      <c r="A9" s="92" t="s">
        <v>416</v>
      </c>
      <c r="B9" s="79" t="s">
        <v>417</v>
      </c>
      <c r="C9" s="88">
        <v>6.7425589999999994E-2</v>
      </c>
      <c r="D9" s="89">
        <v>1.8638189999999999E-2</v>
      </c>
      <c r="E9" s="89">
        <v>3.2071420000000003E-2</v>
      </c>
      <c r="F9" s="89">
        <v>0.12409002</v>
      </c>
      <c r="G9" s="89">
        <v>5.6240150000000003E-2</v>
      </c>
      <c r="H9" s="89">
        <v>1.34829763</v>
      </c>
      <c r="I9" s="89">
        <v>2.7159699999999998E-3</v>
      </c>
      <c r="J9" s="89">
        <v>0.23849608999999999</v>
      </c>
      <c r="K9" s="89">
        <v>4.0360779999999999E-2</v>
      </c>
      <c r="L9" s="89">
        <v>1.0200270000000001E-2</v>
      </c>
      <c r="M9" s="89">
        <v>1.6320870000000001E-2</v>
      </c>
      <c r="N9" s="89">
        <v>1.4920650000000001E-2</v>
      </c>
      <c r="O9" s="89">
        <v>1.263181E-2</v>
      </c>
      <c r="P9" s="89">
        <v>1.377306E-2</v>
      </c>
      <c r="Q9" s="89">
        <v>3.2637899999999997E-2</v>
      </c>
      <c r="R9" s="89">
        <v>3.0551709999999999E-2</v>
      </c>
      <c r="S9" s="89">
        <v>2.974483E-2</v>
      </c>
      <c r="T9" s="89">
        <v>2.7448239999999999E-2</v>
      </c>
      <c r="U9" s="89">
        <v>3.3341120000000002E-2</v>
      </c>
      <c r="V9" s="89">
        <v>5.3328790000000001E-2</v>
      </c>
      <c r="W9" s="89">
        <v>1.6118850000000001E-2</v>
      </c>
      <c r="X9" s="89">
        <v>3.34885E-3</v>
      </c>
      <c r="Y9" s="89">
        <v>2.1752190000000001E-2</v>
      </c>
      <c r="Z9" s="89">
        <v>1.926688E-2</v>
      </c>
      <c r="AA9" s="89">
        <v>3.7731599999999998E-3</v>
      </c>
      <c r="AB9" s="89">
        <v>3.7874900000000001E-3</v>
      </c>
      <c r="AC9" s="89">
        <v>1.01198E-3</v>
      </c>
      <c r="AD9" s="89">
        <v>4.6789600000000002E-3</v>
      </c>
      <c r="AE9" s="89">
        <v>7.2825900000000002E-3</v>
      </c>
      <c r="AF9" s="89">
        <v>4.5793099999999996E-3</v>
      </c>
      <c r="AG9" s="89">
        <v>1.1903520000000001E-2</v>
      </c>
      <c r="AH9" s="89">
        <v>0.13445007</v>
      </c>
      <c r="AI9" s="89">
        <v>1.0038969999999999E-2</v>
      </c>
      <c r="AJ9" s="89">
        <v>1.016617E-2</v>
      </c>
      <c r="AK9" s="89">
        <v>1.4247940000000001E-2</v>
      </c>
      <c r="AL9" s="89">
        <v>4.7829959999999998E-2</v>
      </c>
      <c r="AM9" s="90">
        <v>1.194886E-2</v>
      </c>
      <c r="AN9" s="91">
        <v>2.5294208199999999</v>
      </c>
      <c r="AO9" s="91">
        <v>1.4253549999999999</v>
      </c>
    </row>
    <row r="10" spans="1:41" x14ac:dyDescent="0.2">
      <c r="A10" s="92" t="s">
        <v>418</v>
      </c>
      <c r="B10" s="79" t="s">
        <v>419</v>
      </c>
      <c r="C10" s="88">
        <v>2.650404E-2</v>
      </c>
      <c r="D10" s="89">
        <v>4.4128819999999999E-2</v>
      </c>
      <c r="E10" s="89">
        <v>1.726314E-2</v>
      </c>
      <c r="F10" s="89">
        <v>2.106388E-2</v>
      </c>
      <c r="G10" s="89">
        <v>1.999035E-2</v>
      </c>
      <c r="H10" s="89">
        <v>9.8528530000000003E-2</v>
      </c>
      <c r="I10" s="89">
        <v>1.0571636799999999</v>
      </c>
      <c r="J10" s="89">
        <v>2.5787540000000001E-2</v>
      </c>
      <c r="K10" s="89">
        <v>3.4568309999999998E-2</v>
      </c>
      <c r="L10" s="89">
        <v>4.9806410000000002E-2</v>
      </c>
      <c r="M10" s="89">
        <v>1.313489E-2</v>
      </c>
      <c r="N10" s="89">
        <v>2.11148E-2</v>
      </c>
      <c r="O10" s="89">
        <v>1.431816E-2</v>
      </c>
      <c r="P10" s="89">
        <v>1.2676929999999999E-2</v>
      </c>
      <c r="Q10" s="89">
        <v>1.1406879999999999E-2</v>
      </c>
      <c r="R10" s="89">
        <v>1.165473E-2</v>
      </c>
      <c r="S10" s="89">
        <v>1.201587E-2</v>
      </c>
      <c r="T10" s="89">
        <v>9.3569299999999994E-3</v>
      </c>
      <c r="U10" s="89">
        <v>1.5999530000000001E-2</v>
      </c>
      <c r="V10" s="89">
        <v>1.905652E-2</v>
      </c>
      <c r="W10" s="89">
        <v>2.304252E-2</v>
      </c>
      <c r="X10" s="89">
        <v>5.3644360000000002E-2</v>
      </c>
      <c r="Y10" s="89">
        <v>2.0331430000000001E-2</v>
      </c>
      <c r="Z10" s="89">
        <v>2.2963859999999999E-2</v>
      </c>
      <c r="AA10" s="89">
        <v>9.5144300000000008E-3</v>
      </c>
      <c r="AB10" s="89">
        <v>6.26291E-3</v>
      </c>
      <c r="AC10" s="89">
        <v>1.85684E-3</v>
      </c>
      <c r="AD10" s="89">
        <v>0.10032447</v>
      </c>
      <c r="AE10" s="89">
        <v>7.2613499999999997E-3</v>
      </c>
      <c r="AF10" s="89">
        <v>1.5734149999999999E-2</v>
      </c>
      <c r="AG10" s="89">
        <v>9.4789799999999997E-3</v>
      </c>
      <c r="AH10" s="89">
        <v>1.582159E-2</v>
      </c>
      <c r="AI10" s="89">
        <v>1.0365060000000001E-2</v>
      </c>
      <c r="AJ10" s="89">
        <v>6.8749400000000004E-3</v>
      </c>
      <c r="AK10" s="89">
        <v>1.510798E-2</v>
      </c>
      <c r="AL10" s="89">
        <v>1.8475910000000002E-2</v>
      </c>
      <c r="AM10" s="90">
        <v>3.2417929999999998E-2</v>
      </c>
      <c r="AN10" s="91">
        <v>1.9050186499999999</v>
      </c>
      <c r="AO10" s="91">
        <v>1.07349786</v>
      </c>
    </row>
    <row r="11" spans="1:41" x14ac:dyDescent="0.2">
      <c r="A11" s="92" t="s">
        <v>420</v>
      </c>
      <c r="B11" s="79" t="s">
        <v>421</v>
      </c>
      <c r="C11" s="88">
        <v>1.8153260000000001E-2</v>
      </c>
      <c r="D11" s="89">
        <v>9.3425999999999995E-3</v>
      </c>
      <c r="E11" s="89">
        <v>2.9945570000000001E-2</v>
      </c>
      <c r="F11" s="89">
        <v>1.7817800000000002E-2</v>
      </c>
      <c r="G11" s="89">
        <v>3.4272410000000003E-2</v>
      </c>
      <c r="H11" s="89">
        <v>2.923837E-2</v>
      </c>
      <c r="I11" s="89">
        <v>9.2004000000000001E-4</v>
      </c>
      <c r="J11" s="89">
        <v>1.2300077700000001</v>
      </c>
      <c r="K11" s="89">
        <v>1.3078589999999999E-2</v>
      </c>
      <c r="L11" s="89">
        <v>4.5632800000000003E-3</v>
      </c>
      <c r="M11" s="89">
        <v>1.196995E-2</v>
      </c>
      <c r="N11" s="89">
        <v>9.18596E-3</v>
      </c>
      <c r="O11" s="89">
        <v>2.035439E-2</v>
      </c>
      <c r="P11" s="89">
        <v>2.9484989999999999E-2</v>
      </c>
      <c r="Q11" s="89">
        <v>5.1105270000000001E-2</v>
      </c>
      <c r="R11" s="89">
        <v>3.0026089999999998E-2</v>
      </c>
      <c r="S11" s="89">
        <v>5.1368749999999998E-2</v>
      </c>
      <c r="T11" s="89">
        <v>5.2715289999999998E-2</v>
      </c>
      <c r="U11" s="89">
        <v>7.0011089999999998E-2</v>
      </c>
      <c r="V11" s="89">
        <v>6.7998569999999994E-2</v>
      </c>
      <c r="W11" s="89">
        <v>2.0596360000000001E-2</v>
      </c>
      <c r="X11" s="89">
        <v>3.2092700000000002E-3</v>
      </c>
      <c r="Y11" s="89">
        <v>4.8888559999999998E-2</v>
      </c>
      <c r="Z11" s="89">
        <v>1.793351E-2</v>
      </c>
      <c r="AA11" s="89">
        <v>8.8544799999999996E-3</v>
      </c>
      <c r="AB11" s="89">
        <v>7.4636800000000003E-3</v>
      </c>
      <c r="AC11" s="89">
        <v>1.9923300000000001E-3</v>
      </c>
      <c r="AD11" s="89">
        <v>8.1661200000000007E-3</v>
      </c>
      <c r="AE11" s="89">
        <v>1.1093749999999999E-2</v>
      </c>
      <c r="AF11" s="89">
        <v>6.50666E-3</v>
      </c>
      <c r="AG11" s="89">
        <v>8.3812000000000001E-3</v>
      </c>
      <c r="AH11" s="89">
        <v>8.3934700000000001E-3</v>
      </c>
      <c r="AI11" s="89">
        <v>1.473345E-2</v>
      </c>
      <c r="AJ11" s="89">
        <v>1.6103650000000001E-2</v>
      </c>
      <c r="AK11" s="89">
        <v>1.026087E-2</v>
      </c>
      <c r="AL11" s="89">
        <v>7.3420139999999995E-2</v>
      </c>
      <c r="AM11" s="90">
        <v>9.0600699999999999E-3</v>
      </c>
      <c r="AN11" s="91">
        <v>2.0566175800000002</v>
      </c>
      <c r="AO11" s="91">
        <v>1.15892544</v>
      </c>
    </row>
    <row r="12" spans="1:41" x14ac:dyDescent="0.2">
      <c r="A12" s="92" t="s">
        <v>422</v>
      </c>
      <c r="B12" s="79" t="s">
        <v>423</v>
      </c>
      <c r="C12" s="88">
        <v>3.7563399999999999E-3</v>
      </c>
      <c r="D12" s="89">
        <v>1.5256099999999999E-3</v>
      </c>
      <c r="E12" s="89">
        <v>4.5808400000000001E-3</v>
      </c>
      <c r="F12" s="89">
        <v>2.1006200000000001E-3</v>
      </c>
      <c r="G12" s="89">
        <v>5.3938800000000002E-3</v>
      </c>
      <c r="H12" s="89">
        <v>9.2628099999999998E-3</v>
      </c>
      <c r="I12" s="89">
        <v>4.4767E-4</v>
      </c>
      <c r="J12" s="89">
        <v>5.7779399999999996E-3</v>
      </c>
      <c r="K12" s="89">
        <v>1.0786415199999999</v>
      </c>
      <c r="L12" s="89">
        <v>1.028659E-2</v>
      </c>
      <c r="M12" s="89">
        <v>1.223405E-2</v>
      </c>
      <c r="N12" s="89">
        <v>7.1321700000000002E-3</v>
      </c>
      <c r="O12" s="89">
        <v>9.8448500000000005E-3</v>
      </c>
      <c r="P12" s="89">
        <v>7.6500200000000004E-3</v>
      </c>
      <c r="Q12" s="89">
        <v>2.3958409999999999E-2</v>
      </c>
      <c r="R12" s="89">
        <v>4.133154E-2</v>
      </c>
      <c r="S12" s="89">
        <v>1.525314E-2</v>
      </c>
      <c r="T12" s="89">
        <v>1.212179E-2</v>
      </c>
      <c r="U12" s="89">
        <v>1.2065060000000001E-2</v>
      </c>
      <c r="V12" s="89">
        <v>6.2530099999999998E-3</v>
      </c>
      <c r="W12" s="89">
        <v>5.2660869999999999E-2</v>
      </c>
      <c r="X12" s="89">
        <v>1.2530799999999999E-3</v>
      </c>
      <c r="Y12" s="89">
        <v>7.2696699999999998E-3</v>
      </c>
      <c r="Z12" s="89">
        <v>1.3407499999999999E-3</v>
      </c>
      <c r="AA12" s="89">
        <v>8.7850000000000005E-4</v>
      </c>
      <c r="AB12" s="89">
        <v>6.9152999999999999E-4</v>
      </c>
      <c r="AC12" s="89">
        <v>6.9886999999999998E-4</v>
      </c>
      <c r="AD12" s="89">
        <v>1.15752E-3</v>
      </c>
      <c r="AE12" s="89">
        <v>1.0705700000000001E-3</v>
      </c>
      <c r="AF12" s="89">
        <v>1.27374E-3</v>
      </c>
      <c r="AG12" s="89">
        <v>2.6668600000000001E-3</v>
      </c>
      <c r="AH12" s="89">
        <v>2.4143599999999999E-3</v>
      </c>
      <c r="AI12" s="89">
        <v>1.34395E-3</v>
      </c>
      <c r="AJ12" s="89">
        <v>1.9831800000000002E-3</v>
      </c>
      <c r="AK12" s="89">
        <v>2.5269799999999999E-3</v>
      </c>
      <c r="AL12" s="89">
        <v>9.2078999999999998E-3</v>
      </c>
      <c r="AM12" s="90">
        <v>5.3425599999999997E-3</v>
      </c>
      <c r="AN12" s="91">
        <v>1.3633987400000001</v>
      </c>
      <c r="AO12" s="91">
        <v>0.76828940000000001</v>
      </c>
    </row>
    <row r="13" spans="1:41" x14ac:dyDescent="0.2">
      <c r="A13" s="92" t="s">
        <v>424</v>
      </c>
      <c r="B13" s="79" t="s">
        <v>425</v>
      </c>
      <c r="C13" s="88">
        <v>5.3104900000000002E-3</v>
      </c>
      <c r="D13" s="89">
        <v>1.7607520000000002E-2</v>
      </c>
      <c r="E13" s="89">
        <v>9.2894599999999994E-3</v>
      </c>
      <c r="F13" s="89">
        <v>4.0965999999999997E-3</v>
      </c>
      <c r="G13" s="89">
        <v>3.4027590000000003E-2</v>
      </c>
      <c r="H13" s="89">
        <v>7.9793299999999998E-3</v>
      </c>
      <c r="I13" s="89">
        <v>9.7561000000000002E-4</v>
      </c>
      <c r="J13" s="89">
        <v>1.2191830000000001E-2</v>
      </c>
      <c r="K13" s="89">
        <v>2.5052459999999999E-2</v>
      </c>
      <c r="L13" s="89">
        <v>2.0028342600000002</v>
      </c>
      <c r="M13" s="89">
        <v>6.59342E-3</v>
      </c>
      <c r="N13" s="89">
        <v>0.46478146999999997</v>
      </c>
      <c r="O13" s="89">
        <v>0.27321554999999997</v>
      </c>
      <c r="P13" s="89">
        <v>0.23028357999999999</v>
      </c>
      <c r="Q13" s="89">
        <v>7.3335910000000004E-2</v>
      </c>
      <c r="R13" s="89">
        <v>2.98924E-2</v>
      </c>
      <c r="S13" s="89">
        <v>0.11388943999999999</v>
      </c>
      <c r="T13" s="89">
        <v>3.8602360000000002E-2</v>
      </c>
      <c r="U13" s="89">
        <v>0.18583176000000001</v>
      </c>
      <c r="V13" s="89">
        <v>1.6954070000000002E-2</v>
      </c>
      <c r="W13" s="89">
        <v>9.1494010000000001E-2</v>
      </c>
      <c r="X13" s="89">
        <v>3.4369800000000001E-3</v>
      </c>
      <c r="Y13" s="89">
        <v>9.1339200000000002E-3</v>
      </c>
      <c r="Z13" s="89">
        <v>2.6608199999999999E-3</v>
      </c>
      <c r="AA13" s="89">
        <v>3.6949999999999999E-3</v>
      </c>
      <c r="AB13" s="89">
        <v>2.6706799999999999E-3</v>
      </c>
      <c r="AC13" s="89">
        <v>1.5995600000000001E-3</v>
      </c>
      <c r="AD13" s="89">
        <v>6.8664199999999998E-3</v>
      </c>
      <c r="AE13" s="89">
        <v>4.13744E-3</v>
      </c>
      <c r="AF13" s="89">
        <v>5.8306199999999999E-3</v>
      </c>
      <c r="AG13" s="89">
        <v>2.7494500000000001E-3</v>
      </c>
      <c r="AH13" s="89">
        <v>3.1739799999999999E-3</v>
      </c>
      <c r="AI13" s="89">
        <v>4.2246100000000002E-3</v>
      </c>
      <c r="AJ13" s="89">
        <v>1.132554E-2</v>
      </c>
      <c r="AK13" s="89">
        <v>4.2043999999999996E-3</v>
      </c>
      <c r="AL13" s="89">
        <v>1.7788060000000001E-2</v>
      </c>
      <c r="AM13" s="90">
        <v>1.5209769999999999E-2</v>
      </c>
      <c r="AN13" s="91">
        <v>3.7429463699999999</v>
      </c>
      <c r="AO13" s="91">
        <v>2.1091892900000002</v>
      </c>
    </row>
    <row r="14" spans="1:41" x14ac:dyDescent="0.2">
      <c r="A14" s="92" t="s">
        <v>426</v>
      </c>
      <c r="B14" s="79" t="s">
        <v>427</v>
      </c>
      <c r="C14" s="88">
        <v>1.4917299999999999E-3</v>
      </c>
      <c r="D14" s="89">
        <v>2.7622900000000001E-3</v>
      </c>
      <c r="E14" s="89">
        <v>3.25874E-3</v>
      </c>
      <c r="F14" s="89">
        <v>1.4050499999999999E-3</v>
      </c>
      <c r="G14" s="89">
        <v>5.0606399999999999E-3</v>
      </c>
      <c r="H14" s="89">
        <v>7.1259299999999999E-3</v>
      </c>
      <c r="I14" s="89">
        <v>2.0634000000000001E-4</v>
      </c>
      <c r="J14" s="89">
        <v>4.8006500000000001E-3</v>
      </c>
      <c r="K14" s="89">
        <v>1.078252E-2</v>
      </c>
      <c r="L14" s="89">
        <v>1.5360850000000001E-2</v>
      </c>
      <c r="M14" s="89">
        <v>1.3478388699999999</v>
      </c>
      <c r="N14" s="89">
        <v>6.4108899999999996E-2</v>
      </c>
      <c r="O14" s="89">
        <v>4.3345849999999998E-2</v>
      </c>
      <c r="P14" s="89">
        <v>2.6475530000000001E-2</v>
      </c>
      <c r="Q14" s="89">
        <v>4.3165269999999999E-2</v>
      </c>
      <c r="R14" s="89">
        <v>5.1326799999999999E-2</v>
      </c>
      <c r="S14" s="89">
        <v>6.8880269999999993E-2</v>
      </c>
      <c r="T14" s="89">
        <v>4.8575710000000001E-2</v>
      </c>
      <c r="U14" s="89">
        <v>4.0771979999999999E-2</v>
      </c>
      <c r="V14" s="89">
        <v>1.3410719999999999E-2</v>
      </c>
      <c r="W14" s="89">
        <v>1.5556E-2</v>
      </c>
      <c r="X14" s="89">
        <v>1.03235E-3</v>
      </c>
      <c r="Y14" s="89">
        <v>2.2218799999999999E-3</v>
      </c>
      <c r="Z14" s="89">
        <v>7.829E-4</v>
      </c>
      <c r="AA14" s="89">
        <v>8.7699000000000002E-4</v>
      </c>
      <c r="AB14" s="89">
        <v>8.1256000000000004E-4</v>
      </c>
      <c r="AC14" s="89">
        <v>3.4290999999999998E-4</v>
      </c>
      <c r="AD14" s="89">
        <v>1.4719100000000001E-3</v>
      </c>
      <c r="AE14" s="89">
        <v>1.3406399999999999E-3</v>
      </c>
      <c r="AF14" s="89">
        <v>1.6137199999999999E-3</v>
      </c>
      <c r="AG14" s="89">
        <v>9.6520000000000004E-4</v>
      </c>
      <c r="AH14" s="89">
        <v>2.5795700000000002E-3</v>
      </c>
      <c r="AI14" s="89">
        <v>1.4626000000000001E-3</v>
      </c>
      <c r="AJ14" s="89">
        <v>3.17586E-3</v>
      </c>
      <c r="AK14" s="89">
        <v>1.4079400000000001E-3</v>
      </c>
      <c r="AL14" s="89">
        <v>6.5037899999999997E-3</v>
      </c>
      <c r="AM14" s="90">
        <v>4.6637299999999996E-3</v>
      </c>
      <c r="AN14" s="91">
        <v>1.8469651899999999</v>
      </c>
      <c r="AO14" s="91">
        <v>1.04078414</v>
      </c>
    </row>
    <row r="15" spans="1:41" x14ac:dyDescent="0.2">
      <c r="A15" s="92" t="s">
        <v>428</v>
      </c>
      <c r="B15" s="79" t="s">
        <v>429</v>
      </c>
      <c r="C15" s="88">
        <v>5.3131300000000001E-3</v>
      </c>
      <c r="D15" s="89">
        <v>2.164953E-2</v>
      </c>
      <c r="E15" s="89">
        <v>1.631906E-2</v>
      </c>
      <c r="F15" s="89">
        <v>5.19236E-3</v>
      </c>
      <c r="G15" s="89">
        <v>1.8005589999999998E-2</v>
      </c>
      <c r="H15" s="89">
        <v>1.3369870000000001E-2</v>
      </c>
      <c r="I15" s="89">
        <v>1.23762E-3</v>
      </c>
      <c r="J15" s="89">
        <v>1.1833059999999999E-2</v>
      </c>
      <c r="K15" s="89">
        <v>1.330549E-2</v>
      </c>
      <c r="L15" s="89">
        <v>3.72113E-3</v>
      </c>
      <c r="M15" s="89">
        <v>4.2679700000000003E-3</v>
      </c>
      <c r="N15" s="89">
        <v>1.06972194</v>
      </c>
      <c r="O15" s="89">
        <v>4.1912570000000003E-2</v>
      </c>
      <c r="P15" s="89">
        <v>3.9486559999999997E-2</v>
      </c>
      <c r="Q15" s="89">
        <v>4.493548E-2</v>
      </c>
      <c r="R15" s="89">
        <v>2.6837980000000001E-2</v>
      </c>
      <c r="S15" s="89">
        <v>3.354675E-2</v>
      </c>
      <c r="T15" s="89">
        <v>3.3293009999999998E-2</v>
      </c>
      <c r="U15" s="89">
        <v>2.0094290000000001E-2</v>
      </c>
      <c r="V15" s="89">
        <v>1.4897580000000001E-2</v>
      </c>
      <c r="W15" s="89">
        <v>9.5093250000000004E-2</v>
      </c>
      <c r="X15" s="89">
        <v>3.0960499999999999E-3</v>
      </c>
      <c r="Y15" s="89">
        <v>6.0848600000000001E-3</v>
      </c>
      <c r="Z15" s="89">
        <v>1.85659E-3</v>
      </c>
      <c r="AA15" s="89">
        <v>4.2003800000000001E-3</v>
      </c>
      <c r="AB15" s="89">
        <v>1.51274E-3</v>
      </c>
      <c r="AC15" s="89">
        <v>1.47904E-3</v>
      </c>
      <c r="AD15" s="89">
        <v>3.5266199999999998E-3</v>
      </c>
      <c r="AE15" s="89">
        <v>2.5595700000000002E-3</v>
      </c>
      <c r="AF15" s="89">
        <v>6.2350000000000001E-3</v>
      </c>
      <c r="AG15" s="89">
        <v>2.00015E-3</v>
      </c>
      <c r="AH15" s="89">
        <v>3.19111E-3</v>
      </c>
      <c r="AI15" s="89">
        <v>4.3887300000000004E-3</v>
      </c>
      <c r="AJ15" s="89">
        <v>3.6965700000000002E-3</v>
      </c>
      <c r="AK15" s="89">
        <v>5.7027099999999997E-3</v>
      </c>
      <c r="AL15" s="89">
        <v>1.145259E-2</v>
      </c>
      <c r="AM15" s="90">
        <v>8.2561900000000001E-3</v>
      </c>
      <c r="AN15" s="91">
        <v>1.60327313</v>
      </c>
      <c r="AO15" s="91">
        <v>0.90346112000000001</v>
      </c>
    </row>
    <row r="16" spans="1:41" x14ac:dyDescent="0.2">
      <c r="A16" s="92" t="s">
        <v>430</v>
      </c>
      <c r="B16" s="79" t="s">
        <v>431</v>
      </c>
      <c r="C16" s="88">
        <v>6.6927000000000002E-4</v>
      </c>
      <c r="D16" s="89">
        <v>3.11604E-3</v>
      </c>
      <c r="E16" s="89">
        <v>7.6860000000000003E-4</v>
      </c>
      <c r="F16" s="89">
        <v>6.5696000000000005E-4</v>
      </c>
      <c r="G16" s="89">
        <v>2.0926E-3</v>
      </c>
      <c r="H16" s="89">
        <v>9.2102000000000004E-4</v>
      </c>
      <c r="I16" s="89">
        <v>1.8263E-4</v>
      </c>
      <c r="J16" s="89">
        <v>1.33215E-3</v>
      </c>
      <c r="K16" s="89">
        <v>3.0453500000000001E-3</v>
      </c>
      <c r="L16" s="89">
        <v>7.7904999999999999E-4</v>
      </c>
      <c r="M16" s="89">
        <v>5.4763999999999995E-4</v>
      </c>
      <c r="N16" s="89">
        <v>1.74599E-3</v>
      </c>
      <c r="O16" s="89">
        <v>1.14868321</v>
      </c>
      <c r="P16" s="89">
        <v>4.3373050000000003E-2</v>
      </c>
      <c r="Q16" s="89">
        <v>1.6234599999999998E-2</v>
      </c>
      <c r="R16" s="89">
        <v>3.7578799999999999E-3</v>
      </c>
      <c r="S16" s="89">
        <v>1.468964E-2</v>
      </c>
      <c r="T16" s="89">
        <v>3.6193800000000002E-3</v>
      </c>
      <c r="U16" s="89">
        <v>1.358681E-2</v>
      </c>
      <c r="V16" s="89">
        <v>1.4390799999999999E-3</v>
      </c>
      <c r="W16" s="89">
        <v>7.5032299999999996E-3</v>
      </c>
      <c r="X16" s="89">
        <v>8.8836000000000004E-4</v>
      </c>
      <c r="Y16" s="89">
        <v>1.2409949999999999E-2</v>
      </c>
      <c r="Z16" s="89">
        <v>9.1370999999999998E-4</v>
      </c>
      <c r="AA16" s="89">
        <v>9.9284000000000004E-4</v>
      </c>
      <c r="AB16" s="89">
        <v>1.2173799999999999E-3</v>
      </c>
      <c r="AC16" s="89">
        <v>4.1177999999999999E-4</v>
      </c>
      <c r="AD16" s="89">
        <v>1.5881199999999999E-3</v>
      </c>
      <c r="AE16" s="89">
        <v>1.8047499999999999E-3</v>
      </c>
      <c r="AF16" s="89">
        <v>1.4835E-3</v>
      </c>
      <c r="AG16" s="89">
        <v>9.2944999999999996E-4</v>
      </c>
      <c r="AH16" s="89">
        <v>8.3962999999999996E-4</v>
      </c>
      <c r="AI16" s="89">
        <v>1.0313799999999999E-3</v>
      </c>
      <c r="AJ16" s="89">
        <v>8.3534400000000002E-3</v>
      </c>
      <c r="AK16" s="89">
        <v>8.0667E-4</v>
      </c>
      <c r="AL16" s="89">
        <v>1.6340199999999999E-3</v>
      </c>
      <c r="AM16" s="90">
        <v>1.0781199999999999E-3</v>
      </c>
      <c r="AN16" s="91">
        <v>1.3051272899999999</v>
      </c>
      <c r="AO16" s="91">
        <v>0.73545282999999995</v>
      </c>
    </row>
    <row r="17" spans="1:41" x14ac:dyDescent="0.2">
      <c r="A17" s="92" t="s">
        <v>432</v>
      </c>
      <c r="B17" s="79" t="s">
        <v>433</v>
      </c>
      <c r="C17" s="88">
        <v>6.9043000000000002E-4</v>
      </c>
      <c r="D17" s="89">
        <v>3.0778300000000001E-3</v>
      </c>
      <c r="E17" s="89">
        <v>9.0226E-4</v>
      </c>
      <c r="F17" s="89">
        <v>7.7895999999999998E-4</v>
      </c>
      <c r="G17" s="89">
        <v>9.6005000000000005E-4</v>
      </c>
      <c r="H17" s="89">
        <v>1.0647E-3</v>
      </c>
      <c r="I17" s="89">
        <v>2.0771E-4</v>
      </c>
      <c r="J17" s="89">
        <v>3.85418E-3</v>
      </c>
      <c r="K17" s="89">
        <v>2.3743800000000002E-3</v>
      </c>
      <c r="L17" s="89">
        <v>8.2757999999999996E-4</v>
      </c>
      <c r="M17" s="89">
        <v>7.3048999999999998E-4</v>
      </c>
      <c r="N17" s="89">
        <v>1.2826700000000001E-3</v>
      </c>
      <c r="O17" s="89">
        <v>6.2704900000000001E-3</v>
      </c>
      <c r="P17" s="89">
        <v>1.14052391</v>
      </c>
      <c r="Q17" s="89">
        <v>3.2724799999999999E-3</v>
      </c>
      <c r="R17" s="89">
        <v>4.5440000000000003E-3</v>
      </c>
      <c r="S17" s="89">
        <v>3.8351800000000001E-3</v>
      </c>
      <c r="T17" s="89">
        <v>2.57486E-3</v>
      </c>
      <c r="U17" s="89">
        <v>2.6814500000000002E-3</v>
      </c>
      <c r="V17" s="89">
        <v>1.21262E-3</v>
      </c>
      <c r="W17" s="89">
        <v>1.6451599999999999E-3</v>
      </c>
      <c r="X17" s="89">
        <v>9.9416000000000001E-4</v>
      </c>
      <c r="Y17" s="89">
        <v>2.3616900000000001E-3</v>
      </c>
      <c r="Z17" s="89">
        <v>1.02651E-3</v>
      </c>
      <c r="AA17" s="89">
        <v>1.1998099999999999E-3</v>
      </c>
      <c r="AB17" s="89">
        <v>1.54214E-3</v>
      </c>
      <c r="AC17" s="89">
        <v>4.5673000000000003E-4</v>
      </c>
      <c r="AD17" s="89">
        <v>1.66515E-3</v>
      </c>
      <c r="AE17" s="89">
        <v>2.27451E-3</v>
      </c>
      <c r="AF17" s="89">
        <v>1.2744500000000001E-3</v>
      </c>
      <c r="AG17" s="89">
        <v>1.01735E-3</v>
      </c>
      <c r="AH17" s="89">
        <v>8.4415E-4</v>
      </c>
      <c r="AI17" s="89">
        <v>1.24742E-3</v>
      </c>
      <c r="AJ17" s="89">
        <v>1.1158589999999999E-2</v>
      </c>
      <c r="AK17" s="89">
        <v>8.4814000000000005E-4</v>
      </c>
      <c r="AL17" s="89">
        <v>1.15609E-3</v>
      </c>
      <c r="AM17" s="90">
        <v>1.16277E-3</v>
      </c>
      <c r="AN17" s="91">
        <v>1.21354104</v>
      </c>
      <c r="AO17" s="91">
        <v>0.68384301999999997</v>
      </c>
    </row>
    <row r="18" spans="1:41" x14ac:dyDescent="0.2">
      <c r="A18" s="92" t="s">
        <v>434</v>
      </c>
      <c r="B18" s="79" t="s">
        <v>435</v>
      </c>
      <c r="C18" s="88">
        <v>5.7394E-4</v>
      </c>
      <c r="D18" s="89">
        <v>4.0277999999999999E-4</v>
      </c>
      <c r="E18" s="89">
        <v>4.2378000000000001E-4</v>
      </c>
      <c r="F18" s="89">
        <v>3.3768999999999997E-4</v>
      </c>
      <c r="G18" s="89">
        <v>3.679E-4</v>
      </c>
      <c r="H18" s="89">
        <v>3.7138999999999998E-4</v>
      </c>
      <c r="I18" s="89">
        <v>5.8950000000000003E-5</v>
      </c>
      <c r="J18" s="89">
        <v>3.7134000000000001E-4</v>
      </c>
      <c r="K18" s="89">
        <v>3.7638E-4</v>
      </c>
      <c r="L18" s="89">
        <v>2.2505999999999999E-4</v>
      </c>
      <c r="M18" s="89">
        <v>2.2957000000000001E-4</v>
      </c>
      <c r="N18" s="89">
        <v>3.0095000000000002E-4</v>
      </c>
      <c r="O18" s="89">
        <v>2.6096700000000001E-3</v>
      </c>
      <c r="P18" s="89">
        <v>5.1256100000000001E-3</v>
      </c>
      <c r="Q18" s="89">
        <v>1.0636031100000001</v>
      </c>
      <c r="R18" s="89">
        <v>4.9138000000000003E-4</v>
      </c>
      <c r="S18" s="89">
        <v>1.14587E-3</v>
      </c>
      <c r="T18" s="89">
        <v>1.31959E-3</v>
      </c>
      <c r="U18" s="89">
        <v>8.8497000000000001E-4</v>
      </c>
      <c r="V18" s="89">
        <v>5.2541000000000003E-4</v>
      </c>
      <c r="W18" s="89">
        <v>6.7493999999999996E-4</v>
      </c>
      <c r="X18" s="89">
        <v>3.2280999999999998E-4</v>
      </c>
      <c r="Y18" s="89">
        <v>7.5524999999999995E-4</v>
      </c>
      <c r="Z18" s="89">
        <v>4.1978000000000002E-4</v>
      </c>
      <c r="AA18" s="89">
        <v>1.23306E-3</v>
      </c>
      <c r="AB18" s="89">
        <v>5.6844000000000003E-4</v>
      </c>
      <c r="AC18" s="89">
        <v>1.5579999999999999E-4</v>
      </c>
      <c r="AD18" s="89">
        <v>5.9478000000000005E-4</v>
      </c>
      <c r="AE18" s="89">
        <v>9.2590999999999995E-4</v>
      </c>
      <c r="AF18" s="89">
        <v>2.8343700000000001E-3</v>
      </c>
      <c r="AG18" s="89">
        <v>4.1146999999999999E-4</v>
      </c>
      <c r="AH18" s="89">
        <v>8.2132000000000004E-3</v>
      </c>
      <c r="AI18" s="89">
        <v>5.2997000000000005E-4</v>
      </c>
      <c r="AJ18" s="89">
        <v>3.3260099999999999E-3</v>
      </c>
      <c r="AK18" s="89">
        <v>9.0174999999999999E-4</v>
      </c>
      <c r="AL18" s="89">
        <v>1.8872880000000002E-2</v>
      </c>
      <c r="AM18" s="90">
        <v>1.0114E-3</v>
      </c>
      <c r="AN18" s="91">
        <v>1.1214971499999999</v>
      </c>
      <c r="AO18" s="91">
        <v>0.63197532999999995</v>
      </c>
    </row>
    <row r="19" spans="1:41" x14ac:dyDescent="0.2">
      <c r="A19" s="92" t="s">
        <v>436</v>
      </c>
      <c r="B19" s="79" t="s">
        <v>437</v>
      </c>
      <c r="C19" s="88">
        <v>8.8409000000000003E-4</v>
      </c>
      <c r="D19" s="89">
        <v>1.30635E-3</v>
      </c>
      <c r="E19" s="89">
        <v>9.9894000000000003E-4</v>
      </c>
      <c r="F19" s="89">
        <v>8.9751999999999996E-4</v>
      </c>
      <c r="G19" s="89">
        <v>9.8327000000000006E-4</v>
      </c>
      <c r="H19" s="89">
        <v>1.08647E-3</v>
      </c>
      <c r="I19" s="89">
        <v>1.6819E-4</v>
      </c>
      <c r="J19" s="89">
        <v>1.00292E-3</v>
      </c>
      <c r="K19" s="89">
        <v>1.1247399999999999E-3</v>
      </c>
      <c r="L19" s="89">
        <v>6.6096000000000004E-4</v>
      </c>
      <c r="M19" s="89">
        <v>8.8917E-4</v>
      </c>
      <c r="N19" s="89">
        <v>2.9827E-3</v>
      </c>
      <c r="O19" s="89">
        <v>9.8993699999999994E-3</v>
      </c>
      <c r="P19" s="89">
        <v>1.192555E-2</v>
      </c>
      <c r="Q19" s="89">
        <v>0.11026954</v>
      </c>
      <c r="R19" s="89">
        <v>1.2105398999999999</v>
      </c>
      <c r="S19" s="89">
        <v>0.11918201</v>
      </c>
      <c r="T19" s="89">
        <v>0.23879816000000001</v>
      </c>
      <c r="U19" s="89">
        <v>1.9574660000000001E-2</v>
      </c>
      <c r="V19" s="89">
        <v>6.6338999999999999E-3</v>
      </c>
      <c r="W19" s="89">
        <v>2.7188500000000001E-3</v>
      </c>
      <c r="X19" s="89">
        <v>1.03838E-3</v>
      </c>
      <c r="Y19" s="89">
        <v>2.1761100000000002E-3</v>
      </c>
      <c r="Z19" s="89">
        <v>1.14123E-3</v>
      </c>
      <c r="AA19" s="89">
        <v>1.45981E-3</v>
      </c>
      <c r="AB19" s="89">
        <v>1.80634E-3</v>
      </c>
      <c r="AC19" s="89">
        <v>4.9686999999999995E-4</v>
      </c>
      <c r="AD19" s="89">
        <v>1.9555100000000001E-3</v>
      </c>
      <c r="AE19" s="89">
        <v>3.6744500000000001E-3</v>
      </c>
      <c r="AF19" s="89">
        <v>3.6753900000000002E-3</v>
      </c>
      <c r="AG19" s="89">
        <v>2.3778200000000001E-3</v>
      </c>
      <c r="AH19" s="89">
        <v>1.7537500000000001E-3</v>
      </c>
      <c r="AI19" s="89">
        <v>1.6636800000000001E-3</v>
      </c>
      <c r="AJ19" s="89">
        <v>1.0663529999999999E-2</v>
      </c>
      <c r="AK19" s="89">
        <v>1.0690400000000001E-3</v>
      </c>
      <c r="AL19" s="89">
        <v>3.039323E-2</v>
      </c>
      <c r="AM19" s="90">
        <v>1.9699100000000001E-3</v>
      </c>
      <c r="AN19" s="91">
        <v>1.8098423100000001</v>
      </c>
      <c r="AO19" s="91">
        <v>1.01986501</v>
      </c>
    </row>
    <row r="20" spans="1:41" x14ac:dyDescent="0.2">
      <c r="A20" s="92" t="s">
        <v>438</v>
      </c>
      <c r="B20" s="79" t="s">
        <v>439</v>
      </c>
      <c r="C20" s="88">
        <v>8.9798999999999999E-4</v>
      </c>
      <c r="D20" s="89">
        <v>1.1776200000000001E-3</v>
      </c>
      <c r="E20" s="89">
        <v>6.7885000000000005E-4</v>
      </c>
      <c r="F20" s="89">
        <v>5.3766999999999997E-4</v>
      </c>
      <c r="G20" s="89">
        <v>7.6327999999999997E-4</v>
      </c>
      <c r="H20" s="89">
        <v>6.8444999999999997E-4</v>
      </c>
      <c r="I20" s="89">
        <v>1.2286999999999999E-4</v>
      </c>
      <c r="J20" s="89">
        <v>7.0580000000000003E-4</v>
      </c>
      <c r="K20" s="89">
        <v>7.9748000000000004E-4</v>
      </c>
      <c r="L20" s="89">
        <v>4.5601000000000002E-4</v>
      </c>
      <c r="M20" s="89">
        <v>4.6149E-4</v>
      </c>
      <c r="N20" s="89">
        <v>1.20801E-3</v>
      </c>
      <c r="O20" s="89">
        <v>2.0502969999999999E-2</v>
      </c>
      <c r="P20" s="89">
        <v>2.056473E-2</v>
      </c>
      <c r="Q20" s="89">
        <v>1.7496060000000001E-2</v>
      </c>
      <c r="R20" s="89">
        <v>1.8780390000000001E-2</v>
      </c>
      <c r="S20" s="89">
        <v>1.0871781700000001</v>
      </c>
      <c r="T20" s="89">
        <v>1.8123380000000001E-2</v>
      </c>
      <c r="U20" s="89">
        <v>3.9777659999999999E-2</v>
      </c>
      <c r="V20" s="89">
        <v>1.7704299999999999E-3</v>
      </c>
      <c r="W20" s="89">
        <v>6.96789E-3</v>
      </c>
      <c r="X20" s="89">
        <v>7.2592000000000002E-4</v>
      </c>
      <c r="Y20" s="89">
        <v>1.74219E-3</v>
      </c>
      <c r="Z20" s="89">
        <v>7.0549999999999996E-4</v>
      </c>
      <c r="AA20" s="89">
        <v>9.6590000000000001E-4</v>
      </c>
      <c r="AB20" s="89">
        <v>9.9302000000000006E-4</v>
      </c>
      <c r="AC20" s="89">
        <v>3.4602999999999999E-4</v>
      </c>
      <c r="AD20" s="89">
        <v>1.7662299999999999E-3</v>
      </c>
      <c r="AE20" s="89">
        <v>1.64913E-3</v>
      </c>
      <c r="AF20" s="89">
        <v>2.4520599999999998E-3</v>
      </c>
      <c r="AG20" s="89">
        <v>1.05502E-3</v>
      </c>
      <c r="AH20" s="89">
        <v>7.3242000000000001E-4</v>
      </c>
      <c r="AI20" s="89">
        <v>8.4873000000000001E-4</v>
      </c>
      <c r="AJ20" s="89">
        <v>6.5422800000000001E-3</v>
      </c>
      <c r="AK20" s="89">
        <v>7.4755000000000004E-4</v>
      </c>
      <c r="AL20" s="89">
        <v>1.52213E-3</v>
      </c>
      <c r="AM20" s="90">
        <v>2.0512999999999998E-3</v>
      </c>
      <c r="AN20" s="91">
        <v>1.2644986</v>
      </c>
      <c r="AO20" s="91">
        <v>0.71255813999999995</v>
      </c>
    </row>
    <row r="21" spans="1:41" x14ac:dyDescent="0.2">
      <c r="A21" s="92" t="s">
        <v>440</v>
      </c>
      <c r="B21" s="79" t="s">
        <v>441</v>
      </c>
      <c r="C21" s="88">
        <v>9.6780000000000005E-5</v>
      </c>
      <c r="D21" s="89">
        <v>1.1233E-4</v>
      </c>
      <c r="E21" s="89">
        <v>9.4079999999999994E-5</v>
      </c>
      <c r="F21" s="89">
        <v>7.5859999999999995E-5</v>
      </c>
      <c r="G21" s="89">
        <v>8.4190000000000005E-5</v>
      </c>
      <c r="H21" s="89">
        <v>1.0164E-4</v>
      </c>
      <c r="I21" s="89">
        <v>1.647E-5</v>
      </c>
      <c r="J21" s="89">
        <v>8.8319999999999995E-5</v>
      </c>
      <c r="K21" s="89">
        <v>9.255E-5</v>
      </c>
      <c r="L21" s="89">
        <v>5.7800000000000002E-5</v>
      </c>
      <c r="M21" s="89">
        <v>5.5630000000000001E-5</v>
      </c>
      <c r="N21" s="89">
        <v>8.8629999999999997E-5</v>
      </c>
      <c r="O21" s="89">
        <v>4.0109E-4</v>
      </c>
      <c r="P21" s="89">
        <v>1.8644000000000001E-4</v>
      </c>
      <c r="Q21" s="89">
        <v>9.1219999999999997E-5</v>
      </c>
      <c r="R21" s="89">
        <v>1.0737E-4</v>
      </c>
      <c r="S21" s="89">
        <v>1.0223E-4</v>
      </c>
      <c r="T21" s="89">
        <v>1.00988191</v>
      </c>
      <c r="U21" s="89">
        <v>4.0045699999999998E-3</v>
      </c>
      <c r="V21" s="89">
        <v>1.0466E-4</v>
      </c>
      <c r="W21" s="89">
        <v>7.5465000000000005E-4</v>
      </c>
      <c r="X21" s="89">
        <v>9.2029999999999998E-5</v>
      </c>
      <c r="Y21" s="89">
        <v>1.7424000000000001E-4</v>
      </c>
      <c r="Z21" s="89">
        <v>9.4030000000000006E-5</v>
      </c>
      <c r="AA21" s="89">
        <v>2.1361000000000001E-4</v>
      </c>
      <c r="AB21" s="89">
        <v>1.7568999999999999E-4</v>
      </c>
      <c r="AC21" s="89">
        <v>6.9029999999999995E-5</v>
      </c>
      <c r="AD21" s="89">
        <v>2.2442E-4</v>
      </c>
      <c r="AE21" s="89">
        <v>2.7109999999999998E-4</v>
      </c>
      <c r="AF21" s="89">
        <v>7.5290000000000003E-4</v>
      </c>
      <c r="AG21" s="89">
        <v>1.2929E-4</v>
      </c>
      <c r="AH21" s="89">
        <v>8.3430000000000006E-5</v>
      </c>
      <c r="AI21" s="89">
        <v>1.3379E-4</v>
      </c>
      <c r="AJ21" s="89">
        <v>7.3890999999999996E-4</v>
      </c>
      <c r="AK21" s="89">
        <v>1.3770000000000001E-4</v>
      </c>
      <c r="AL21" s="89">
        <v>1.0915E-4</v>
      </c>
      <c r="AM21" s="90">
        <v>2.6376999999999998E-4</v>
      </c>
      <c r="AN21" s="91">
        <v>1.0202614999999999</v>
      </c>
      <c r="AO21" s="91">
        <v>0.57492799000000006</v>
      </c>
    </row>
    <row r="22" spans="1:41" x14ac:dyDescent="0.2">
      <c r="A22" s="92" t="s">
        <v>442</v>
      </c>
      <c r="B22" s="79" t="s">
        <v>443</v>
      </c>
      <c r="C22" s="88">
        <v>1.3619259999999999E-2</v>
      </c>
      <c r="D22" s="89">
        <v>9.1074699999999995E-3</v>
      </c>
      <c r="E22" s="89">
        <v>6.3934600000000001E-3</v>
      </c>
      <c r="F22" s="89">
        <v>3.8842600000000001E-3</v>
      </c>
      <c r="G22" s="89">
        <v>4.7361699999999996E-3</v>
      </c>
      <c r="H22" s="89">
        <v>4.8329999999999996E-3</v>
      </c>
      <c r="I22" s="89">
        <v>1.18154E-3</v>
      </c>
      <c r="J22" s="89">
        <v>4.4405800000000004E-3</v>
      </c>
      <c r="K22" s="89">
        <v>5.4010899999999999E-3</v>
      </c>
      <c r="L22" s="89">
        <v>3.2611699999999999E-3</v>
      </c>
      <c r="M22" s="89">
        <v>3.2091799999999998E-3</v>
      </c>
      <c r="N22" s="89">
        <v>3.77334E-3</v>
      </c>
      <c r="O22" s="89">
        <v>4.0252100000000004E-3</v>
      </c>
      <c r="P22" s="89">
        <v>4.5432900000000002E-3</v>
      </c>
      <c r="Q22" s="89">
        <v>3.8878699999999999E-3</v>
      </c>
      <c r="R22" s="89">
        <v>4.2896399999999999E-3</v>
      </c>
      <c r="S22" s="89">
        <v>4.1421599999999998E-3</v>
      </c>
      <c r="T22" s="89">
        <v>4.0074899999999998E-3</v>
      </c>
      <c r="U22" s="89">
        <v>1.66838365</v>
      </c>
      <c r="V22" s="89">
        <v>6.0505799999999998E-3</v>
      </c>
      <c r="W22" s="89">
        <v>6.7080799999999999E-3</v>
      </c>
      <c r="X22" s="89">
        <v>4.8353700000000003E-3</v>
      </c>
      <c r="Y22" s="89">
        <v>8.1887799999999997E-3</v>
      </c>
      <c r="Z22" s="89">
        <v>5.4599399999999999E-3</v>
      </c>
      <c r="AA22" s="89">
        <v>5.8883800000000003E-3</v>
      </c>
      <c r="AB22" s="89">
        <v>6.8436499999999997E-3</v>
      </c>
      <c r="AC22" s="89">
        <v>1.89667E-3</v>
      </c>
      <c r="AD22" s="89">
        <v>3.0992059999999998E-2</v>
      </c>
      <c r="AE22" s="89">
        <v>9.5026899999999994E-3</v>
      </c>
      <c r="AF22" s="89">
        <v>1.368726E-2</v>
      </c>
      <c r="AG22" s="89">
        <v>4.7310800000000004E-3</v>
      </c>
      <c r="AH22" s="89">
        <v>3.7764299999999999E-3</v>
      </c>
      <c r="AI22" s="89">
        <v>5.8338399999999999E-3</v>
      </c>
      <c r="AJ22" s="89">
        <v>4.268781E-2</v>
      </c>
      <c r="AK22" s="89">
        <v>4.8431999999999998E-3</v>
      </c>
      <c r="AL22" s="89">
        <v>5.5442699999999996E-3</v>
      </c>
      <c r="AM22" s="90">
        <v>8.8567699999999999E-3</v>
      </c>
      <c r="AN22" s="91">
        <v>1.9334467</v>
      </c>
      <c r="AO22" s="91">
        <v>1.08951737</v>
      </c>
    </row>
    <row r="23" spans="1:41" x14ac:dyDescent="0.2">
      <c r="A23" s="92" t="s">
        <v>444</v>
      </c>
      <c r="B23" s="79" t="s">
        <v>445</v>
      </c>
      <c r="C23" s="88">
        <v>5.7387899999999997E-3</v>
      </c>
      <c r="D23" s="89">
        <v>7.0760900000000002E-3</v>
      </c>
      <c r="E23" s="89">
        <v>1.124898E-2</v>
      </c>
      <c r="F23" s="89">
        <v>1.6630229999999999E-2</v>
      </c>
      <c r="G23" s="89">
        <v>1.792699E-2</v>
      </c>
      <c r="H23" s="89">
        <v>7.1901500000000002E-3</v>
      </c>
      <c r="I23" s="89">
        <v>1.64207E-3</v>
      </c>
      <c r="J23" s="89">
        <v>5.6178900000000004E-3</v>
      </c>
      <c r="K23" s="89">
        <v>1.160599E-2</v>
      </c>
      <c r="L23" s="89">
        <v>1.4846379999999999E-2</v>
      </c>
      <c r="M23" s="89">
        <v>3.532946E-2</v>
      </c>
      <c r="N23" s="89">
        <v>9.2281599999999991E-3</v>
      </c>
      <c r="O23" s="89">
        <v>6.6544999999999998E-3</v>
      </c>
      <c r="P23" s="89">
        <v>7.4272100000000001E-3</v>
      </c>
      <c r="Q23" s="89">
        <v>1.046657E-2</v>
      </c>
      <c r="R23" s="89">
        <v>9.6036400000000001E-3</v>
      </c>
      <c r="S23" s="89">
        <v>9.1521899999999993E-3</v>
      </c>
      <c r="T23" s="89">
        <v>1.118688E-2</v>
      </c>
      <c r="U23" s="89">
        <v>7.2288300000000003E-3</v>
      </c>
      <c r="V23" s="89">
        <v>1.0439782500000001</v>
      </c>
      <c r="W23" s="89">
        <v>7.9082900000000001E-3</v>
      </c>
      <c r="X23" s="89">
        <v>9.8130999999999999E-3</v>
      </c>
      <c r="Y23" s="89">
        <v>8.2411099999999994E-3</v>
      </c>
      <c r="Z23" s="89">
        <v>6.4427099999999999E-3</v>
      </c>
      <c r="AA23" s="89">
        <v>8.0300200000000006E-3</v>
      </c>
      <c r="AB23" s="89">
        <v>1.659567E-2</v>
      </c>
      <c r="AC23" s="89">
        <v>1.9467499999999999E-3</v>
      </c>
      <c r="AD23" s="89">
        <v>5.5311199999999996E-3</v>
      </c>
      <c r="AE23" s="89">
        <v>2.499695E-2</v>
      </c>
      <c r="AF23" s="89">
        <v>1.0061280000000001E-2</v>
      </c>
      <c r="AG23" s="89">
        <v>1.641577E-2</v>
      </c>
      <c r="AH23" s="89">
        <v>6.4411099999999999E-3</v>
      </c>
      <c r="AI23" s="89">
        <v>4.069909E-2</v>
      </c>
      <c r="AJ23" s="89">
        <v>1.226814E-2</v>
      </c>
      <c r="AK23" s="89">
        <v>9.2706999999999998E-3</v>
      </c>
      <c r="AL23" s="89">
        <v>0.12073357999999999</v>
      </c>
      <c r="AM23" s="90">
        <v>7.4739899999999998E-3</v>
      </c>
      <c r="AN23" s="91">
        <v>1.5626486500000001</v>
      </c>
      <c r="AO23" s="91">
        <v>0.88056880000000004</v>
      </c>
    </row>
    <row r="24" spans="1:41" x14ac:dyDescent="0.2">
      <c r="A24" s="92" t="s">
        <v>446</v>
      </c>
      <c r="B24" s="79" t="s">
        <v>447</v>
      </c>
      <c r="C24" s="88">
        <v>4.75509E-3</v>
      </c>
      <c r="D24" s="89">
        <v>6.49542E-3</v>
      </c>
      <c r="E24" s="89">
        <v>3.2318300000000002E-3</v>
      </c>
      <c r="F24" s="89">
        <v>4.7993000000000003E-3</v>
      </c>
      <c r="G24" s="89">
        <v>7.6558599999999996E-3</v>
      </c>
      <c r="H24" s="89">
        <v>6.3740000000000003E-3</v>
      </c>
      <c r="I24" s="89">
        <v>9.5768000000000003E-4</v>
      </c>
      <c r="J24" s="89">
        <v>6.4831100000000003E-3</v>
      </c>
      <c r="K24" s="89">
        <v>8.5450200000000004E-3</v>
      </c>
      <c r="L24" s="89">
        <v>1.0390379999999999E-2</v>
      </c>
      <c r="M24" s="89">
        <v>6.0987999999999997E-3</v>
      </c>
      <c r="N24" s="89">
        <v>7.9345500000000003E-3</v>
      </c>
      <c r="O24" s="89">
        <v>5.0176400000000003E-3</v>
      </c>
      <c r="P24" s="89">
        <v>4.67812E-3</v>
      </c>
      <c r="Q24" s="89">
        <v>4.0973900000000002E-3</v>
      </c>
      <c r="R24" s="89">
        <v>6.3965300000000001E-3</v>
      </c>
      <c r="S24" s="89">
        <v>4.8584300000000004E-3</v>
      </c>
      <c r="T24" s="89">
        <v>4.4904699999999999E-3</v>
      </c>
      <c r="U24" s="89">
        <v>4.1141299999999997E-3</v>
      </c>
      <c r="V24" s="89">
        <v>4.5293099999999999E-3</v>
      </c>
      <c r="W24" s="89">
        <v>1.003655</v>
      </c>
      <c r="X24" s="89">
        <v>1.7061969999999999E-2</v>
      </c>
      <c r="Y24" s="89">
        <v>3.4601470000000002E-2</v>
      </c>
      <c r="Z24" s="89">
        <v>5.6691600000000003E-3</v>
      </c>
      <c r="AA24" s="89">
        <v>4.8387300000000003E-3</v>
      </c>
      <c r="AB24" s="89">
        <v>4.0422399999999999E-3</v>
      </c>
      <c r="AC24" s="89">
        <v>9.8002000000000002E-3</v>
      </c>
      <c r="AD24" s="89">
        <v>8.96074E-3</v>
      </c>
      <c r="AE24" s="89">
        <v>5.8456200000000002E-3</v>
      </c>
      <c r="AF24" s="89">
        <v>9.7102000000000004E-3</v>
      </c>
      <c r="AG24" s="89">
        <v>7.0058300000000002E-3</v>
      </c>
      <c r="AH24" s="89">
        <v>4.3284100000000004E-3</v>
      </c>
      <c r="AI24" s="89">
        <v>3.66418E-3</v>
      </c>
      <c r="AJ24" s="89">
        <v>2.8496099999999998E-3</v>
      </c>
      <c r="AK24" s="89">
        <v>4.9022500000000004E-3</v>
      </c>
      <c r="AL24" s="89">
        <v>5.29855E-3</v>
      </c>
      <c r="AM24" s="90">
        <v>4.5625400000000003E-3</v>
      </c>
      <c r="AN24" s="91">
        <v>1.24869976</v>
      </c>
      <c r="AO24" s="91">
        <v>0.70365533000000002</v>
      </c>
    </row>
    <row r="25" spans="1:41" x14ac:dyDescent="0.2">
      <c r="A25" s="92" t="s">
        <v>448</v>
      </c>
      <c r="B25" s="79" t="s">
        <v>449</v>
      </c>
      <c r="C25" s="88">
        <v>2.374594E-2</v>
      </c>
      <c r="D25" s="89">
        <v>5.1350670000000001E-2</v>
      </c>
      <c r="E25" s="89">
        <v>3.01821E-2</v>
      </c>
      <c r="F25" s="89">
        <v>4.7532350000000001E-2</v>
      </c>
      <c r="G25" s="89">
        <v>7.3467599999999994E-2</v>
      </c>
      <c r="H25" s="89">
        <v>5.1859759999999998E-2</v>
      </c>
      <c r="I25" s="89">
        <v>1.117694E-2</v>
      </c>
      <c r="J25" s="89">
        <v>5.8335369999999998E-2</v>
      </c>
      <c r="K25" s="89">
        <v>7.4340589999999998E-2</v>
      </c>
      <c r="L25" s="89">
        <v>0.10053011000000001</v>
      </c>
      <c r="M25" s="89">
        <v>5.9585659999999999E-2</v>
      </c>
      <c r="N25" s="89">
        <v>5.7516350000000001E-2</v>
      </c>
      <c r="O25" s="89">
        <v>3.9222460000000001E-2</v>
      </c>
      <c r="P25" s="89">
        <v>3.3512550000000002E-2</v>
      </c>
      <c r="Q25" s="89">
        <v>3.0406349999999999E-2</v>
      </c>
      <c r="R25" s="89">
        <v>5.100271E-2</v>
      </c>
      <c r="S25" s="89">
        <v>3.2391009999999998E-2</v>
      </c>
      <c r="T25" s="89">
        <v>2.6443399999999999E-2</v>
      </c>
      <c r="U25" s="89">
        <v>4.3480989999999997E-2</v>
      </c>
      <c r="V25" s="89">
        <v>3.7524620000000002E-2</v>
      </c>
      <c r="W25" s="89">
        <v>2.3593340000000001E-2</v>
      </c>
      <c r="X25" s="89">
        <v>1.10020469</v>
      </c>
      <c r="Y25" s="89">
        <v>5.9799659999999998E-2</v>
      </c>
      <c r="Z25" s="89">
        <v>8.6943759999999995E-2</v>
      </c>
      <c r="AA25" s="89">
        <v>2.9974540000000001E-2</v>
      </c>
      <c r="AB25" s="89">
        <v>1.0846120000000001E-2</v>
      </c>
      <c r="AC25" s="89">
        <v>6.2862200000000003E-3</v>
      </c>
      <c r="AD25" s="89">
        <v>2.2451349999999998E-2</v>
      </c>
      <c r="AE25" s="89">
        <v>1.504495E-2</v>
      </c>
      <c r="AF25" s="89">
        <v>2.0288500000000001E-2</v>
      </c>
      <c r="AG25" s="89">
        <v>2.7158410000000001E-2</v>
      </c>
      <c r="AH25" s="89">
        <v>2.4629809999999999E-2</v>
      </c>
      <c r="AI25" s="89">
        <v>1.35516E-2</v>
      </c>
      <c r="AJ25" s="89">
        <v>1.328961E-2</v>
      </c>
      <c r="AK25" s="89">
        <v>5.1493789999999998E-2</v>
      </c>
      <c r="AL25" s="89">
        <v>4.2841240000000003E-2</v>
      </c>
      <c r="AM25" s="90">
        <v>1.77422E-2</v>
      </c>
      <c r="AN25" s="91">
        <v>2.4997473100000001</v>
      </c>
      <c r="AO25" s="91">
        <v>1.4086336699999999</v>
      </c>
    </row>
    <row r="26" spans="1:41" x14ac:dyDescent="0.2">
      <c r="A26" s="92" t="s">
        <v>450</v>
      </c>
      <c r="B26" s="79" t="s">
        <v>451</v>
      </c>
      <c r="C26" s="88">
        <v>2.0603499999999999E-3</v>
      </c>
      <c r="D26" s="89">
        <v>4.3846800000000002E-3</v>
      </c>
      <c r="E26" s="89">
        <v>3.6058499999999999E-3</v>
      </c>
      <c r="F26" s="89">
        <v>3.0495800000000001E-3</v>
      </c>
      <c r="G26" s="89">
        <v>4.0509600000000002E-3</v>
      </c>
      <c r="H26" s="89">
        <v>4.46956E-3</v>
      </c>
      <c r="I26" s="89">
        <v>8.3975E-4</v>
      </c>
      <c r="J26" s="89">
        <v>2.6725799999999999E-3</v>
      </c>
      <c r="K26" s="89">
        <v>2.5348900000000001E-3</v>
      </c>
      <c r="L26" s="89">
        <v>2.8641600000000001E-3</v>
      </c>
      <c r="M26" s="89">
        <v>1.92869E-3</v>
      </c>
      <c r="N26" s="89">
        <v>2.0858000000000001E-3</v>
      </c>
      <c r="O26" s="89">
        <v>1.8842799999999999E-3</v>
      </c>
      <c r="P26" s="89">
        <v>1.7503900000000001E-3</v>
      </c>
      <c r="Q26" s="89">
        <v>1.94925E-3</v>
      </c>
      <c r="R26" s="89">
        <v>3.2172899999999998E-3</v>
      </c>
      <c r="S26" s="89">
        <v>1.97051E-3</v>
      </c>
      <c r="T26" s="89">
        <v>1.65179E-3</v>
      </c>
      <c r="U26" s="89">
        <v>1.87411E-3</v>
      </c>
      <c r="V26" s="89">
        <v>2.4352900000000001E-3</v>
      </c>
      <c r="W26" s="89">
        <v>2.1175E-3</v>
      </c>
      <c r="X26" s="89">
        <v>1.6798799999999999E-3</v>
      </c>
      <c r="Y26" s="89">
        <v>1.09957148</v>
      </c>
      <c r="Z26" s="89">
        <v>1.080333E-2</v>
      </c>
      <c r="AA26" s="89">
        <v>3.2388400000000002E-3</v>
      </c>
      <c r="AB26" s="89">
        <v>2.1662500000000002E-3</v>
      </c>
      <c r="AC26" s="89">
        <v>7.3401E-4</v>
      </c>
      <c r="AD26" s="89">
        <v>5.1800099999999996E-3</v>
      </c>
      <c r="AE26" s="89">
        <v>3.2734999999999999E-3</v>
      </c>
      <c r="AF26" s="89">
        <v>5.2898700000000003E-3</v>
      </c>
      <c r="AG26" s="89">
        <v>1.0444790000000001E-2</v>
      </c>
      <c r="AH26" s="89">
        <v>6.4486500000000002E-3</v>
      </c>
      <c r="AI26" s="89">
        <v>3.47358E-3</v>
      </c>
      <c r="AJ26" s="89">
        <v>1.64204E-3</v>
      </c>
      <c r="AK26" s="89">
        <v>1.100083E-2</v>
      </c>
      <c r="AL26" s="89">
        <v>2.9455599999999998E-3</v>
      </c>
      <c r="AM26" s="90">
        <v>3.9604200000000001E-3</v>
      </c>
      <c r="AN26" s="91">
        <v>1.22525029</v>
      </c>
      <c r="AO26" s="91">
        <v>0.69044130999999997</v>
      </c>
    </row>
    <row r="27" spans="1:41" x14ac:dyDescent="0.2">
      <c r="A27" s="92" t="s">
        <v>452</v>
      </c>
      <c r="B27" s="79" t="s">
        <v>453</v>
      </c>
      <c r="C27" s="88">
        <v>1.87357E-3</v>
      </c>
      <c r="D27" s="89">
        <v>4.7719399999999997E-3</v>
      </c>
      <c r="E27" s="89">
        <v>2.37893E-3</v>
      </c>
      <c r="F27" s="89">
        <v>1.7531000000000001E-3</v>
      </c>
      <c r="G27" s="89">
        <v>2.83694E-3</v>
      </c>
      <c r="H27" s="89">
        <v>4.34543E-3</v>
      </c>
      <c r="I27" s="89">
        <v>4.2376000000000002E-4</v>
      </c>
      <c r="J27" s="89">
        <v>1.9310099999999999E-3</v>
      </c>
      <c r="K27" s="89">
        <v>4.40355E-3</v>
      </c>
      <c r="L27" s="89">
        <v>2.0919799999999998E-3</v>
      </c>
      <c r="M27" s="89">
        <v>1.66614E-3</v>
      </c>
      <c r="N27" s="89">
        <v>1.56453E-3</v>
      </c>
      <c r="O27" s="89">
        <v>1.6060099999999999E-3</v>
      </c>
      <c r="P27" s="89">
        <v>1.20852E-3</v>
      </c>
      <c r="Q27" s="89">
        <v>1.7613399999999999E-3</v>
      </c>
      <c r="R27" s="89">
        <v>2.2283300000000002E-3</v>
      </c>
      <c r="S27" s="89">
        <v>1.51458E-3</v>
      </c>
      <c r="T27" s="89">
        <v>1.4132700000000001E-3</v>
      </c>
      <c r="U27" s="89">
        <v>1.9030500000000001E-3</v>
      </c>
      <c r="V27" s="89">
        <v>2.0611499999999999E-3</v>
      </c>
      <c r="W27" s="89">
        <v>3.4742699999999998E-3</v>
      </c>
      <c r="X27" s="89">
        <v>1.1933829999999999E-2</v>
      </c>
      <c r="Y27" s="89">
        <v>3.9331699999999997E-3</v>
      </c>
      <c r="Z27" s="89">
        <v>1.0021543399999999</v>
      </c>
      <c r="AA27" s="89">
        <v>2.57552E-3</v>
      </c>
      <c r="AB27" s="89">
        <v>4.2503200000000001E-3</v>
      </c>
      <c r="AC27" s="89">
        <v>5.4498999999999997E-4</v>
      </c>
      <c r="AD27" s="89">
        <v>6.5553E-3</v>
      </c>
      <c r="AE27" s="89">
        <v>5.3156999999999996E-3</v>
      </c>
      <c r="AF27" s="89">
        <v>2.8209620000000001E-2</v>
      </c>
      <c r="AG27" s="89">
        <v>5.8906799999999997E-3</v>
      </c>
      <c r="AH27" s="89">
        <v>5.0943999999999998E-3</v>
      </c>
      <c r="AI27" s="89">
        <v>1.3302399999999999E-3</v>
      </c>
      <c r="AJ27" s="89">
        <v>1.36005E-3</v>
      </c>
      <c r="AK27" s="89">
        <v>1.918079E-2</v>
      </c>
      <c r="AL27" s="89">
        <v>2.3443700000000001E-3</v>
      </c>
      <c r="AM27" s="90">
        <v>2.2606930000000001E-2</v>
      </c>
      <c r="AN27" s="91">
        <v>1.1704916400000001</v>
      </c>
      <c r="AO27" s="91">
        <v>0.65958424000000004</v>
      </c>
    </row>
    <row r="28" spans="1:41" x14ac:dyDescent="0.2">
      <c r="A28" s="92" t="s">
        <v>454</v>
      </c>
      <c r="B28" s="79" t="s">
        <v>395</v>
      </c>
      <c r="C28" s="88">
        <v>9.7951430000000006E-2</v>
      </c>
      <c r="D28" s="89">
        <v>3.7580759999999998E-2</v>
      </c>
      <c r="E28" s="89">
        <v>0.11465249</v>
      </c>
      <c r="F28" s="89">
        <v>9.6190010000000006E-2</v>
      </c>
      <c r="G28" s="89">
        <v>0.12090163</v>
      </c>
      <c r="H28" s="89">
        <v>6.6097660000000003E-2</v>
      </c>
      <c r="I28" s="89">
        <v>1.38338E-2</v>
      </c>
      <c r="J28" s="89">
        <v>8.9707980000000007E-2</v>
      </c>
      <c r="K28" s="89">
        <v>5.4745710000000003E-2</v>
      </c>
      <c r="L28" s="89">
        <v>5.5610199999999999E-2</v>
      </c>
      <c r="M28" s="89">
        <v>6.2743460000000001E-2</v>
      </c>
      <c r="N28" s="89">
        <v>6.9705320000000001E-2</v>
      </c>
      <c r="O28" s="89">
        <v>7.0181830000000001E-2</v>
      </c>
      <c r="P28" s="89">
        <v>6.6251149999999995E-2</v>
      </c>
      <c r="Q28" s="89">
        <v>7.4539380000000002E-2</v>
      </c>
      <c r="R28" s="89">
        <v>6.7629469999999997E-2</v>
      </c>
      <c r="S28" s="89">
        <v>7.9657169999999999E-2</v>
      </c>
      <c r="T28" s="89">
        <v>7.0236409999999999E-2</v>
      </c>
      <c r="U28" s="89">
        <v>8.7668750000000004E-2</v>
      </c>
      <c r="V28" s="89">
        <v>9.8948960000000002E-2</v>
      </c>
      <c r="W28" s="89">
        <v>8.0176860000000003E-2</v>
      </c>
      <c r="X28" s="89">
        <v>2.8319549999999999E-2</v>
      </c>
      <c r="Y28" s="89">
        <v>3.759034E-2</v>
      </c>
      <c r="Z28" s="89">
        <v>2.6936559999999998E-2</v>
      </c>
      <c r="AA28" s="89">
        <v>1.0212190299999999</v>
      </c>
      <c r="AB28" s="89">
        <v>1.65959E-2</v>
      </c>
      <c r="AC28" s="89">
        <v>4.87324E-3</v>
      </c>
      <c r="AD28" s="89">
        <v>4.217183E-2</v>
      </c>
      <c r="AE28" s="89">
        <v>2.9593850000000001E-2</v>
      </c>
      <c r="AF28" s="89">
        <v>2.0638719999999999E-2</v>
      </c>
      <c r="AG28" s="89">
        <v>3.0218109999999999E-2</v>
      </c>
      <c r="AH28" s="89">
        <v>6.6890619999999998E-2</v>
      </c>
      <c r="AI28" s="89">
        <v>5.4836959999999997E-2</v>
      </c>
      <c r="AJ28" s="89">
        <v>3.3099150000000001E-2</v>
      </c>
      <c r="AK28" s="89">
        <v>0.10290051</v>
      </c>
      <c r="AL28" s="89">
        <v>0.29416368999999998</v>
      </c>
      <c r="AM28" s="90">
        <v>2.6346080000000001E-2</v>
      </c>
      <c r="AN28" s="91">
        <v>3.4114045800000001</v>
      </c>
      <c r="AO28" s="91">
        <v>1.9223620400000001</v>
      </c>
    </row>
    <row r="29" spans="1:41" x14ac:dyDescent="0.2">
      <c r="A29" s="92" t="s">
        <v>455</v>
      </c>
      <c r="B29" s="79" t="s">
        <v>383</v>
      </c>
      <c r="C29" s="88">
        <v>1.4968810000000001E-2</v>
      </c>
      <c r="D29" s="89">
        <v>5.1598039999999998E-2</v>
      </c>
      <c r="E29" s="89">
        <v>1.5698E-2</v>
      </c>
      <c r="F29" s="89">
        <v>2.7033700000000001E-2</v>
      </c>
      <c r="G29" s="89">
        <v>2.1454270000000001E-2</v>
      </c>
      <c r="H29" s="89">
        <v>1.5652260000000001E-2</v>
      </c>
      <c r="I29" s="89">
        <v>6.1112800000000002E-3</v>
      </c>
      <c r="J29" s="89">
        <v>1.304423E-2</v>
      </c>
      <c r="K29" s="89">
        <v>1.9509470000000001E-2</v>
      </c>
      <c r="L29" s="89">
        <v>1.516322E-2</v>
      </c>
      <c r="M29" s="89">
        <v>1.7103299999999998E-2</v>
      </c>
      <c r="N29" s="89">
        <v>2.0760150000000002E-2</v>
      </c>
      <c r="O29" s="89">
        <v>1.5428839999999999E-2</v>
      </c>
      <c r="P29" s="89">
        <v>1.5269949999999999E-2</v>
      </c>
      <c r="Q29" s="89">
        <v>1.939983E-2</v>
      </c>
      <c r="R29" s="89">
        <v>1.4687230000000001E-2</v>
      </c>
      <c r="S29" s="89">
        <v>1.4804299999999999E-2</v>
      </c>
      <c r="T29" s="89">
        <v>1.444663E-2</v>
      </c>
      <c r="U29" s="89">
        <v>1.524582E-2</v>
      </c>
      <c r="V29" s="89">
        <v>2.4895299999999999E-2</v>
      </c>
      <c r="W29" s="89">
        <v>2.2184140000000001E-2</v>
      </c>
      <c r="X29" s="89">
        <v>2.3616729999999999E-2</v>
      </c>
      <c r="Y29" s="89">
        <v>3.3670079999999998E-2</v>
      </c>
      <c r="Z29" s="89">
        <v>3.3854219999999997E-2</v>
      </c>
      <c r="AA29" s="89">
        <v>2.4507959999999999E-2</v>
      </c>
      <c r="AB29" s="89">
        <v>1.05253701</v>
      </c>
      <c r="AC29" s="89">
        <v>8.0182340000000005E-2</v>
      </c>
      <c r="AD29" s="89">
        <v>3.2597370000000001E-2</v>
      </c>
      <c r="AE29" s="89">
        <v>1.4883520000000001E-2</v>
      </c>
      <c r="AF29" s="89">
        <v>2.659342E-2</v>
      </c>
      <c r="AG29" s="89">
        <v>1.2885829999999999E-2</v>
      </c>
      <c r="AH29" s="89">
        <v>1.5907290000000001E-2</v>
      </c>
      <c r="AI29" s="89">
        <v>3.3808919999999999E-2</v>
      </c>
      <c r="AJ29" s="89">
        <v>1.500547E-2</v>
      </c>
      <c r="AK29" s="89">
        <v>1.675142E-2</v>
      </c>
      <c r="AL29" s="89">
        <v>1.8903179999999999E-2</v>
      </c>
      <c r="AM29" s="90">
        <v>1.8228189999999998E-2</v>
      </c>
      <c r="AN29" s="91">
        <v>1.84839171</v>
      </c>
      <c r="AO29" s="91">
        <v>1.041588</v>
      </c>
    </row>
    <row r="30" spans="1:41" x14ac:dyDescent="0.2">
      <c r="A30" s="92" t="s">
        <v>456</v>
      </c>
      <c r="B30" s="79" t="s">
        <v>457</v>
      </c>
      <c r="C30" s="88">
        <v>9.1006000000000004E-3</v>
      </c>
      <c r="D30" s="89">
        <v>1.7929239999999999E-2</v>
      </c>
      <c r="E30" s="89">
        <v>1.0485990000000001E-2</v>
      </c>
      <c r="F30" s="89">
        <v>1.060904E-2</v>
      </c>
      <c r="G30" s="89">
        <v>1.1156299999999999E-2</v>
      </c>
      <c r="H30" s="89">
        <v>9.1433799999999996E-3</v>
      </c>
      <c r="I30" s="89">
        <v>2.0436400000000002E-3</v>
      </c>
      <c r="J30" s="89">
        <v>1.052401E-2</v>
      </c>
      <c r="K30" s="89">
        <v>9.8547600000000006E-3</v>
      </c>
      <c r="L30" s="89">
        <v>7.6204899999999997E-3</v>
      </c>
      <c r="M30" s="89">
        <v>6.5322000000000002E-3</v>
      </c>
      <c r="N30" s="89">
        <v>1.0600979999999999E-2</v>
      </c>
      <c r="O30" s="89">
        <v>9.1932200000000002E-3</v>
      </c>
      <c r="P30" s="89">
        <v>8.8016599999999993E-3</v>
      </c>
      <c r="Q30" s="89">
        <v>8.2225100000000006E-3</v>
      </c>
      <c r="R30" s="89">
        <v>7.6712200000000003E-3</v>
      </c>
      <c r="S30" s="89">
        <v>9.2532199999999995E-3</v>
      </c>
      <c r="T30" s="89">
        <v>8.7584199999999994E-3</v>
      </c>
      <c r="U30" s="89">
        <v>7.8249300000000008E-3</v>
      </c>
      <c r="V30" s="89">
        <v>1.155051E-2</v>
      </c>
      <c r="W30" s="89">
        <v>1.255502E-2</v>
      </c>
      <c r="X30" s="89">
        <v>1.076708E-2</v>
      </c>
      <c r="Y30" s="89">
        <v>9.0420799999999992E-3</v>
      </c>
      <c r="Z30" s="89">
        <v>7.8896399999999998E-3</v>
      </c>
      <c r="AA30" s="89">
        <v>3.4103550000000003E-2</v>
      </c>
      <c r="AB30" s="89">
        <v>2.195888E-2</v>
      </c>
      <c r="AC30" s="89">
        <v>1.03330644</v>
      </c>
      <c r="AD30" s="89">
        <v>2.74404E-2</v>
      </c>
      <c r="AE30" s="89">
        <v>3.3841219999999998E-2</v>
      </c>
      <c r="AF30" s="89">
        <v>6.4088799999999996E-3</v>
      </c>
      <c r="AG30" s="89">
        <v>1.279889E-2</v>
      </c>
      <c r="AH30" s="89">
        <v>2.220459E-2</v>
      </c>
      <c r="AI30" s="89">
        <v>2.6318899999999999E-2</v>
      </c>
      <c r="AJ30" s="89">
        <v>1.4541770000000001E-2</v>
      </c>
      <c r="AK30" s="89">
        <v>2.0990999999999999E-2</v>
      </c>
      <c r="AL30" s="89">
        <v>1.5125100000000001E-2</v>
      </c>
      <c r="AM30" s="90">
        <v>4.0653519999999999E-2</v>
      </c>
      <c r="AN30" s="91">
        <v>1.53682327</v>
      </c>
      <c r="AO30" s="91">
        <v>0.86601592999999999</v>
      </c>
    </row>
    <row r="31" spans="1:41" x14ac:dyDescent="0.2">
      <c r="A31" s="92" t="s">
        <v>458</v>
      </c>
      <c r="B31" s="79" t="s">
        <v>384</v>
      </c>
      <c r="C31" s="88">
        <v>8.7340669999999995E-2</v>
      </c>
      <c r="D31" s="89">
        <v>0.23375515999999999</v>
      </c>
      <c r="E31" s="89">
        <v>7.181622E-2</v>
      </c>
      <c r="F31" s="89">
        <v>4.910101E-2</v>
      </c>
      <c r="G31" s="89">
        <v>7.7891810000000006E-2</v>
      </c>
      <c r="H31" s="89">
        <v>5.3313510000000001E-2</v>
      </c>
      <c r="I31" s="89">
        <v>2.948361E-2</v>
      </c>
      <c r="J31" s="89">
        <v>4.6906530000000002E-2</v>
      </c>
      <c r="K31" s="89">
        <v>8.5481080000000001E-2</v>
      </c>
      <c r="L31" s="89">
        <v>5.9684109999999999E-2</v>
      </c>
      <c r="M31" s="89">
        <v>6.0720709999999997E-2</v>
      </c>
      <c r="N31" s="89">
        <v>5.8131660000000002E-2</v>
      </c>
      <c r="O31" s="89">
        <v>4.7768970000000001E-2</v>
      </c>
      <c r="P31" s="89">
        <v>4.3718930000000003E-2</v>
      </c>
      <c r="Q31" s="89">
        <v>4.8733949999999998E-2</v>
      </c>
      <c r="R31" s="89">
        <v>4.4150750000000002E-2</v>
      </c>
      <c r="S31" s="89">
        <v>4.721148E-2</v>
      </c>
      <c r="T31" s="89">
        <v>4.5189859999999998E-2</v>
      </c>
      <c r="U31" s="89">
        <v>5.0634279999999997E-2</v>
      </c>
      <c r="V31" s="89">
        <v>0.1219667</v>
      </c>
      <c r="W31" s="89">
        <v>7.2286870000000003E-2</v>
      </c>
      <c r="X31" s="89">
        <v>5.7836140000000001E-2</v>
      </c>
      <c r="Y31" s="89">
        <v>4.2988180000000001E-2</v>
      </c>
      <c r="Z31" s="89">
        <v>8.0273890000000001E-2</v>
      </c>
      <c r="AA31" s="89">
        <v>6.7661789999999999E-2</v>
      </c>
      <c r="AB31" s="89">
        <v>5.0536369999999997E-2</v>
      </c>
      <c r="AC31" s="89">
        <v>9.1252099999999999E-3</v>
      </c>
      <c r="AD31" s="89">
        <v>1.1422744499999999</v>
      </c>
      <c r="AE31" s="89">
        <v>4.8776010000000002E-2</v>
      </c>
      <c r="AF31" s="89">
        <v>4.882798E-2</v>
      </c>
      <c r="AG31" s="89">
        <v>4.0549059999999998E-2</v>
      </c>
      <c r="AH31" s="89">
        <v>3.2993979999999999E-2</v>
      </c>
      <c r="AI31" s="89">
        <v>5.8648270000000002E-2</v>
      </c>
      <c r="AJ31" s="89">
        <v>3.1605330000000001E-2</v>
      </c>
      <c r="AK31" s="89">
        <v>6.4632259999999997E-2</v>
      </c>
      <c r="AL31" s="89">
        <v>0.11461186</v>
      </c>
      <c r="AM31" s="90">
        <v>0.12270039000000001</v>
      </c>
      <c r="AN31" s="91">
        <v>3.4493290499999998</v>
      </c>
      <c r="AO31" s="91">
        <v>1.9437328700000001</v>
      </c>
    </row>
    <row r="32" spans="1:41" x14ac:dyDescent="0.2">
      <c r="A32" s="92" t="s">
        <v>459</v>
      </c>
      <c r="B32" s="79" t="s">
        <v>380</v>
      </c>
      <c r="C32" s="88">
        <v>2.0328969999999998E-2</v>
      </c>
      <c r="D32" s="89">
        <v>3.0199150000000001E-2</v>
      </c>
      <c r="E32" s="89">
        <v>2.4469049999999999E-2</v>
      </c>
      <c r="F32" s="89">
        <v>2.3907649999999999E-2</v>
      </c>
      <c r="G32" s="89">
        <v>2.7361360000000001E-2</v>
      </c>
      <c r="H32" s="89">
        <v>3.5016449999999998E-2</v>
      </c>
      <c r="I32" s="89">
        <v>4.1613900000000001E-3</v>
      </c>
      <c r="J32" s="89">
        <v>2.7697380000000001E-2</v>
      </c>
      <c r="K32" s="89">
        <v>2.481717E-2</v>
      </c>
      <c r="L32" s="89">
        <v>1.7983510000000001E-2</v>
      </c>
      <c r="M32" s="89">
        <v>1.731311E-2</v>
      </c>
      <c r="N32" s="89">
        <v>2.2806239999999998E-2</v>
      </c>
      <c r="O32" s="89">
        <v>2.5127549999999998E-2</v>
      </c>
      <c r="P32" s="89">
        <v>2.8918309999999999E-2</v>
      </c>
      <c r="Q32" s="89">
        <v>2.616359E-2</v>
      </c>
      <c r="R32" s="89">
        <v>2.866608E-2</v>
      </c>
      <c r="S32" s="89">
        <v>3.2813549999999997E-2</v>
      </c>
      <c r="T32" s="89">
        <v>3.9551700000000002E-2</v>
      </c>
      <c r="U32" s="89">
        <v>2.2939560000000001E-2</v>
      </c>
      <c r="V32" s="89">
        <v>2.7359250000000002E-2</v>
      </c>
      <c r="W32" s="89">
        <v>3.3106299999999998E-2</v>
      </c>
      <c r="X32" s="89">
        <v>2.772606E-2</v>
      </c>
      <c r="Y32" s="89">
        <v>7.584378E-2</v>
      </c>
      <c r="Z32" s="89">
        <v>2.9104769999999999E-2</v>
      </c>
      <c r="AA32" s="89">
        <v>5.8732989999999999E-2</v>
      </c>
      <c r="AB32" s="89">
        <v>8.6390640000000005E-2</v>
      </c>
      <c r="AC32" s="89">
        <v>1.444046E-2</v>
      </c>
      <c r="AD32" s="89">
        <v>3.450363E-2</v>
      </c>
      <c r="AE32" s="89">
        <v>1.2186662800000001</v>
      </c>
      <c r="AF32" s="89">
        <v>5.0851929999999997E-2</v>
      </c>
      <c r="AG32" s="89">
        <v>4.7740100000000001E-2</v>
      </c>
      <c r="AH32" s="89">
        <v>3.042779E-2</v>
      </c>
      <c r="AI32" s="89">
        <v>9.7958420000000004E-2</v>
      </c>
      <c r="AJ32" s="89">
        <v>0.10825384</v>
      </c>
      <c r="AK32" s="89">
        <v>4.0998550000000002E-2</v>
      </c>
      <c r="AL32" s="89">
        <v>3.028548E-2</v>
      </c>
      <c r="AM32" s="90">
        <v>0.1109658</v>
      </c>
      <c r="AN32" s="91">
        <v>2.6035978499999999</v>
      </c>
      <c r="AO32" s="91">
        <v>1.46715453</v>
      </c>
    </row>
    <row r="33" spans="1:41" x14ac:dyDescent="0.2">
      <c r="A33" s="92" t="s">
        <v>460</v>
      </c>
      <c r="B33" s="79" t="s">
        <v>461</v>
      </c>
      <c r="C33" s="88">
        <v>1.84045E-3</v>
      </c>
      <c r="D33" s="89">
        <v>3.87675E-3</v>
      </c>
      <c r="E33" s="89">
        <v>2.5560800000000001E-3</v>
      </c>
      <c r="F33" s="89">
        <v>1.25646E-3</v>
      </c>
      <c r="G33" s="89">
        <v>1.69583E-3</v>
      </c>
      <c r="H33" s="89">
        <v>1.02133E-3</v>
      </c>
      <c r="I33" s="89">
        <v>2.8836999999999998E-4</v>
      </c>
      <c r="J33" s="89">
        <v>1.26022E-3</v>
      </c>
      <c r="K33" s="89">
        <v>2.6569300000000001E-3</v>
      </c>
      <c r="L33" s="89">
        <v>2.19747E-3</v>
      </c>
      <c r="M33" s="89">
        <v>2.09823E-3</v>
      </c>
      <c r="N33" s="89">
        <v>1.91632E-3</v>
      </c>
      <c r="O33" s="89">
        <v>2.8058100000000002E-3</v>
      </c>
      <c r="P33" s="89">
        <v>2.3633899999999999E-3</v>
      </c>
      <c r="Q33" s="89">
        <v>1.3494399999999999E-3</v>
      </c>
      <c r="R33" s="89">
        <v>8.6426000000000005E-4</v>
      </c>
      <c r="S33" s="89">
        <v>1.37122E-3</v>
      </c>
      <c r="T33" s="89">
        <v>9.6639999999999996E-4</v>
      </c>
      <c r="U33" s="89">
        <v>1.44707E-3</v>
      </c>
      <c r="V33" s="89">
        <v>1.3138100000000001E-3</v>
      </c>
      <c r="W33" s="89">
        <v>4.2772399999999999E-3</v>
      </c>
      <c r="X33" s="89">
        <v>1.2535700000000001E-3</v>
      </c>
      <c r="Y33" s="89">
        <v>3.1119199999999998E-3</v>
      </c>
      <c r="Z33" s="89">
        <v>5.6706400000000002E-3</v>
      </c>
      <c r="AA33" s="89">
        <v>2.1088700000000001E-3</v>
      </c>
      <c r="AB33" s="89">
        <v>1.60768E-3</v>
      </c>
      <c r="AC33" s="89">
        <v>6.5603000000000005E-4</v>
      </c>
      <c r="AD33" s="89">
        <v>2.7348400000000001E-3</v>
      </c>
      <c r="AE33" s="89">
        <v>1.2988800000000001E-3</v>
      </c>
      <c r="AF33" s="89">
        <v>1.00077967</v>
      </c>
      <c r="AG33" s="89">
        <v>2.7881199999999998E-3</v>
      </c>
      <c r="AH33" s="89">
        <v>1.45345E-3</v>
      </c>
      <c r="AI33" s="89">
        <v>1.6682299999999999E-3</v>
      </c>
      <c r="AJ33" s="89">
        <v>1.23806E-3</v>
      </c>
      <c r="AK33" s="89">
        <v>1.5822500000000001E-3</v>
      </c>
      <c r="AL33" s="89">
        <v>1.5892600000000001E-3</v>
      </c>
      <c r="AM33" s="90">
        <v>0.24738704</v>
      </c>
      <c r="AN33" s="91">
        <v>1.3163515800000001</v>
      </c>
      <c r="AO33" s="91">
        <v>0.74177784000000002</v>
      </c>
    </row>
    <row r="34" spans="1:41" x14ac:dyDescent="0.2">
      <c r="A34" s="92" t="s">
        <v>462</v>
      </c>
      <c r="B34" s="79" t="s">
        <v>463</v>
      </c>
      <c r="C34" s="88">
        <v>3.6196999999999998E-4</v>
      </c>
      <c r="D34" s="89">
        <v>8.0416999999999999E-4</v>
      </c>
      <c r="E34" s="89">
        <v>6.1109000000000001E-4</v>
      </c>
      <c r="F34" s="89">
        <v>3.1279000000000002E-4</v>
      </c>
      <c r="G34" s="89">
        <v>5.4146999999999995E-4</v>
      </c>
      <c r="H34" s="89">
        <v>7.2013000000000003E-4</v>
      </c>
      <c r="I34" s="89">
        <v>8.4209999999999995E-5</v>
      </c>
      <c r="J34" s="89">
        <v>4.9295999999999997E-4</v>
      </c>
      <c r="K34" s="89">
        <v>7.2983E-4</v>
      </c>
      <c r="L34" s="89">
        <v>3.6803999999999998E-4</v>
      </c>
      <c r="M34" s="89">
        <v>2.5667000000000002E-4</v>
      </c>
      <c r="N34" s="89">
        <v>6.8572000000000001E-4</v>
      </c>
      <c r="O34" s="89">
        <v>1.00377E-3</v>
      </c>
      <c r="P34" s="89">
        <v>7.7070000000000003E-4</v>
      </c>
      <c r="Q34" s="89">
        <v>7.5359000000000005E-4</v>
      </c>
      <c r="R34" s="89">
        <v>1.6195199999999999E-3</v>
      </c>
      <c r="S34" s="89">
        <v>1.5797000000000001E-3</v>
      </c>
      <c r="T34" s="89">
        <v>2.0368999999999999E-3</v>
      </c>
      <c r="U34" s="89">
        <v>6.5737E-4</v>
      </c>
      <c r="V34" s="89">
        <v>4.4979999999999998E-4</v>
      </c>
      <c r="W34" s="89">
        <v>5.6470000000000001E-4</v>
      </c>
      <c r="X34" s="89">
        <v>8.3520999999999997E-4</v>
      </c>
      <c r="Y34" s="89">
        <v>6.4736000000000004E-4</v>
      </c>
      <c r="Z34" s="89">
        <v>4.7577999999999997E-4</v>
      </c>
      <c r="AA34" s="89">
        <v>6.0983999999999995E-4</v>
      </c>
      <c r="AB34" s="89">
        <v>7.2143999999999995E-4</v>
      </c>
      <c r="AC34" s="89">
        <v>1.1908000000000001E-4</v>
      </c>
      <c r="AD34" s="89">
        <v>1.57632E-3</v>
      </c>
      <c r="AE34" s="89">
        <v>4.9948299999999996E-3</v>
      </c>
      <c r="AF34" s="89">
        <v>4.885E-4</v>
      </c>
      <c r="AG34" s="89">
        <v>1.0003324899999999</v>
      </c>
      <c r="AH34" s="89">
        <v>3.8173999999999999E-4</v>
      </c>
      <c r="AI34" s="89">
        <v>5.6269000000000002E-4</v>
      </c>
      <c r="AJ34" s="89">
        <v>1.1127000000000001E-3</v>
      </c>
      <c r="AK34" s="89">
        <v>8.0493000000000003E-4</v>
      </c>
      <c r="AL34" s="89">
        <v>5.3140000000000001E-4</v>
      </c>
      <c r="AM34" s="90">
        <v>8.5954E-4</v>
      </c>
      <c r="AN34" s="91">
        <v>1.0304589399999999</v>
      </c>
      <c r="AO34" s="91">
        <v>0.58067435000000001</v>
      </c>
    </row>
    <row r="35" spans="1:41" x14ac:dyDescent="0.2">
      <c r="A35" s="92" t="s">
        <v>464</v>
      </c>
      <c r="B35" s="79" t="s">
        <v>465</v>
      </c>
      <c r="C35" s="88">
        <v>5.8434000000000003E-4</v>
      </c>
      <c r="D35" s="89">
        <v>3.4610000000000001E-4</v>
      </c>
      <c r="E35" s="89">
        <v>2.1917E-4</v>
      </c>
      <c r="F35" s="89">
        <v>1.0217000000000001E-4</v>
      </c>
      <c r="G35" s="89">
        <v>1.5689E-4</v>
      </c>
      <c r="H35" s="89">
        <v>1.2826E-4</v>
      </c>
      <c r="I35" s="89">
        <v>4.2280000000000002E-5</v>
      </c>
      <c r="J35" s="89">
        <v>1.0485E-4</v>
      </c>
      <c r="K35" s="89">
        <v>1.5369E-4</v>
      </c>
      <c r="L35" s="89">
        <v>1.1621E-4</v>
      </c>
      <c r="M35" s="89">
        <v>1.1173E-4</v>
      </c>
      <c r="N35" s="89">
        <v>1.1202E-4</v>
      </c>
      <c r="O35" s="89">
        <v>1.0898E-4</v>
      </c>
      <c r="P35" s="89">
        <v>1.0134E-4</v>
      </c>
      <c r="Q35" s="89">
        <v>9.6620000000000007E-5</v>
      </c>
      <c r="R35" s="89">
        <v>8.8220000000000006E-5</v>
      </c>
      <c r="S35" s="89">
        <v>9.8720000000000003E-5</v>
      </c>
      <c r="T35" s="89">
        <v>9.5329999999999997E-5</v>
      </c>
      <c r="U35" s="89">
        <v>9.8549999999999997E-5</v>
      </c>
      <c r="V35" s="89">
        <v>2.0110000000000001E-4</v>
      </c>
      <c r="W35" s="89">
        <v>1.6254E-4</v>
      </c>
      <c r="X35" s="89">
        <v>1.3611E-4</v>
      </c>
      <c r="Y35" s="89">
        <v>4.7112E-4</v>
      </c>
      <c r="Z35" s="89">
        <v>1.8422999999999999E-4</v>
      </c>
      <c r="AA35" s="89">
        <v>1.7242000000000001E-4</v>
      </c>
      <c r="AB35" s="89">
        <v>3.0524000000000003E-4</v>
      </c>
      <c r="AC35" s="89">
        <v>4.8310000000000003E-5</v>
      </c>
      <c r="AD35" s="89">
        <v>1.39321E-3</v>
      </c>
      <c r="AE35" s="89">
        <v>7.8461999999999998E-4</v>
      </c>
      <c r="AF35" s="89">
        <v>1.3480999999999999E-4</v>
      </c>
      <c r="AG35" s="89">
        <v>1.4066999999999999E-4</v>
      </c>
      <c r="AH35" s="89">
        <v>1.0161676900000001</v>
      </c>
      <c r="AI35" s="89">
        <v>1.7107E-4</v>
      </c>
      <c r="AJ35" s="89">
        <v>1.6550000000000001E-4</v>
      </c>
      <c r="AK35" s="89">
        <v>2.2824999999999999E-4</v>
      </c>
      <c r="AL35" s="89">
        <v>1.9311999999999999E-4</v>
      </c>
      <c r="AM35" s="90">
        <v>2.7115400000000001E-3</v>
      </c>
      <c r="AN35" s="91">
        <v>1.02663704</v>
      </c>
      <c r="AO35" s="91">
        <v>0.57852066999999996</v>
      </c>
    </row>
    <row r="36" spans="1:41" x14ac:dyDescent="0.2">
      <c r="A36" s="92" t="s">
        <v>466</v>
      </c>
      <c r="B36" s="79" t="s">
        <v>467</v>
      </c>
      <c r="C36" s="88">
        <v>1.9632600000000001E-3</v>
      </c>
      <c r="D36" s="89">
        <v>3.8658999999999998E-3</v>
      </c>
      <c r="E36" s="89">
        <v>1.9807200000000001E-3</v>
      </c>
      <c r="F36" s="89">
        <v>1.5028400000000001E-3</v>
      </c>
      <c r="G36" s="89">
        <v>2.1312100000000001E-3</v>
      </c>
      <c r="H36" s="89">
        <v>2.94743E-3</v>
      </c>
      <c r="I36" s="89">
        <v>3.6539E-4</v>
      </c>
      <c r="J36" s="89">
        <v>1.6874500000000001E-3</v>
      </c>
      <c r="K36" s="89">
        <v>1.78652E-3</v>
      </c>
      <c r="L36" s="89">
        <v>1.9103099999999999E-3</v>
      </c>
      <c r="M36" s="89">
        <v>1.0368899999999999E-3</v>
      </c>
      <c r="N36" s="89">
        <v>1.7483399999999999E-3</v>
      </c>
      <c r="O36" s="89">
        <v>3.2204E-3</v>
      </c>
      <c r="P36" s="89">
        <v>2.78649E-3</v>
      </c>
      <c r="Q36" s="89">
        <v>2.2964499999999998E-3</v>
      </c>
      <c r="R36" s="89">
        <v>1.54323E-3</v>
      </c>
      <c r="S36" s="89">
        <v>1.4842099999999999E-3</v>
      </c>
      <c r="T36" s="89">
        <v>1.5874299999999999E-3</v>
      </c>
      <c r="U36" s="89">
        <v>1.1810900000000001E-3</v>
      </c>
      <c r="V36" s="89">
        <v>1.7133599999999999E-3</v>
      </c>
      <c r="W36" s="89">
        <v>2.0647199999999999E-3</v>
      </c>
      <c r="X36" s="89">
        <v>2.1415100000000001E-3</v>
      </c>
      <c r="Y36" s="89">
        <v>1.0757060000000001E-2</v>
      </c>
      <c r="Z36" s="89">
        <v>2.7426400000000002E-3</v>
      </c>
      <c r="AA36" s="89">
        <v>1.22484E-3</v>
      </c>
      <c r="AB36" s="89">
        <v>3.6514500000000001E-3</v>
      </c>
      <c r="AC36" s="89">
        <v>7.3731999999999997E-4</v>
      </c>
      <c r="AD36" s="89">
        <v>2.0997400000000001E-3</v>
      </c>
      <c r="AE36" s="89">
        <v>2.3543599999999998E-3</v>
      </c>
      <c r="AF36" s="89">
        <v>6.8415000000000001E-4</v>
      </c>
      <c r="AG36" s="89">
        <v>2.64218E-3</v>
      </c>
      <c r="AH36" s="89">
        <v>1.7740500000000001E-3</v>
      </c>
      <c r="AI36" s="89">
        <v>1.00079596</v>
      </c>
      <c r="AJ36" s="89">
        <v>2.7529299999999998E-3</v>
      </c>
      <c r="AK36" s="89">
        <v>3.6389899999999999E-3</v>
      </c>
      <c r="AL36" s="89">
        <v>1.49512E-3</v>
      </c>
      <c r="AM36" s="90">
        <v>5.4993200000000002E-3</v>
      </c>
      <c r="AN36" s="91">
        <v>1.08579526</v>
      </c>
      <c r="AO36" s="91">
        <v>0.61185694999999996</v>
      </c>
    </row>
    <row r="37" spans="1:41" x14ac:dyDescent="0.2">
      <c r="A37" s="92" t="s">
        <v>468</v>
      </c>
      <c r="B37" s="79" t="s">
        <v>385</v>
      </c>
      <c r="C37" s="88">
        <v>6.4565810000000001E-2</v>
      </c>
      <c r="D37" s="89">
        <v>0.10981498000000001</v>
      </c>
      <c r="E37" s="89">
        <v>8.5230109999999998E-2</v>
      </c>
      <c r="F37" s="89">
        <v>7.6771300000000001E-2</v>
      </c>
      <c r="G37" s="89">
        <v>7.6265959999999994E-2</v>
      </c>
      <c r="H37" s="89">
        <v>0.10225498</v>
      </c>
      <c r="I37" s="89">
        <v>1.4987520000000001E-2</v>
      </c>
      <c r="J37" s="89">
        <v>9.2845540000000004E-2</v>
      </c>
      <c r="K37" s="89">
        <v>9.8699490000000001E-2</v>
      </c>
      <c r="L37" s="89">
        <v>5.4563510000000003E-2</v>
      </c>
      <c r="M37" s="89">
        <v>5.2381410000000003E-2</v>
      </c>
      <c r="N37" s="89">
        <v>7.0049490000000006E-2</v>
      </c>
      <c r="O37" s="89">
        <v>8.329433E-2</v>
      </c>
      <c r="P37" s="89">
        <v>7.6389659999999998E-2</v>
      </c>
      <c r="Q37" s="89">
        <v>7.9076820000000006E-2</v>
      </c>
      <c r="R37" s="89">
        <v>9.34117E-2</v>
      </c>
      <c r="S37" s="89">
        <v>8.7182250000000003E-2</v>
      </c>
      <c r="T37" s="89">
        <v>8.4749569999999996E-2</v>
      </c>
      <c r="U37" s="89">
        <v>8.8305850000000005E-2</v>
      </c>
      <c r="V37" s="89">
        <v>9.2438549999999994E-2</v>
      </c>
      <c r="W37" s="89">
        <v>0.14315687999999999</v>
      </c>
      <c r="X37" s="89">
        <v>0.10045091</v>
      </c>
      <c r="Y37" s="89">
        <v>0.20395028000000001</v>
      </c>
      <c r="Z37" s="89">
        <v>0.10313875</v>
      </c>
      <c r="AA37" s="89">
        <v>0.1238624</v>
      </c>
      <c r="AB37" s="89">
        <v>0.16167313999999999</v>
      </c>
      <c r="AC37" s="89">
        <v>4.7792920000000003E-2</v>
      </c>
      <c r="AD37" s="89">
        <v>0.16634213</v>
      </c>
      <c r="AE37" s="89">
        <v>0.23779135000000001</v>
      </c>
      <c r="AF37" s="89">
        <v>0.12868300999999999</v>
      </c>
      <c r="AG37" s="89">
        <v>0.10429653999999999</v>
      </c>
      <c r="AH37" s="89">
        <v>8.4641620000000001E-2</v>
      </c>
      <c r="AI37" s="89">
        <v>0.12731653000000001</v>
      </c>
      <c r="AJ37" s="89">
        <v>1.1873881100000001</v>
      </c>
      <c r="AK37" s="89">
        <v>8.4669270000000005E-2</v>
      </c>
      <c r="AL37" s="89">
        <v>8.1618979999999994E-2</v>
      </c>
      <c r="AM37" s="90">
        <v>0.11766582</v>
      </c>
      <c r="AN37" s="91">
        <v>4.7877174499999997</v>
      </c>
      <c r="AO37" s="91">
        <v>2.6979286899999999</v>
      </c>
    </row>
    <row r="38" spans="1:41" x14ac:dyDescent="0.2">
      <c r="A38" s="92" t="s">
        <v>469</v>
      </c>
      <c r="B38" s="79" t="s">
        <v>386</v>
      </c>
      <c r="C38" s="88">
        <v>7.6727999999999996E-4</v>
      </c>
      <c r="D38" s="89">
        <v>9.2391000000000001E-4</v>
      </c>
      <c r="E38" s="89">
        <v>8.2377000000000004E-4</v>
      </c>
      <c r="F38" s="89">
        <v>7.0578000000000004E-4</v>
      </c>
      <c r="G38" s="89">
        <v>7.4067999999999996E-4</v>
      </c>
      <c r="H38" s="89">
        <v>7.8580000000000002E-4</v>
      </c>
      <c r="I38" s="89">
        <v>1.2689999999999999E-4</v>
      </c>
      <c r="J38" s="89">
        <v>7.0158000000000004E-4</v>
      </c>
      <c r="K38" s="89">
        <v>6.4457000000000002E-4</v>
      </c>
      <c r="L38" s="89">
        <v>5.2736999999999999E-4</v>
      </c>
      <c r="M38" s="89">
        <v>5.2596000000000001E-4</v>
      </c>
      <c r="N38" s="89">
        <v>6.1510000000000004E-4</v>
      </c>
      <c r="O38" s="89">
        <v>6.8824999999999995E-4</v>
      </c>
      <c r="P38" s="89">
        <v>7.2413999999999996E-4</v>
      </c>
      <c r="Q38" s="89">
        <v>6.7584999999999998E-4</v>
      </c>
      <c r="R38" s="89">
        <v>7.7574999999999996E-4</v>
      </c>
      <c r="S38" s="89">
        <v>7.8368000000000003E-4</v>
      </c>
      <c r="T38" s="89">
        <v>8.4493000000000003E-4</v>
      </c>
      <c r="U38" s="89">
        <v>7.0425000000000001E-4</v>
      </c>
      <c r="V38" s="89">
        <v>1.0961600000000001E-3</v>
      </c>
      <c r="W38" s="89">
        <v>1.00691E-3</v>
      </c>
      <c r="X38" s="89">
        <v>6.2500000000000001E-4</v>
      </c>
      <c r="Y38" s="89">
        <v>1.5358500000000001E-3</v>
      </c>
      <c r="Z38" s="89">
        <v>6.5662000000000001E-4</v>
      </c>
      <c r="AA38" s="89">
        <v>1.74081E-3</v>
      </c>
      <c r="AB38" s="89">
        <v>1.43155E-3</v>
      </c>
      <c r="AC38" s="89">
        <v>7.8635E-4</v>
      </c>
      <c r="AD38" s="89">
        <v>1.4797899999999999E-3</v>
      </c>
      <c r="AE38" s="89">
        <v>1.3087140000000001E-2</v>
      </c>
      <c r="AF38" s="89">
        <v>1.2795599999999999E-3</v>
      </c>
      <c r="AG38" s="89">
        <v>3.68936E-3</v>
      </c>
      <c r="AH38" s="89">
        <v>1.292244E-2</v>
      </c>
      <c r="AI38" s="89">
        <v>3.9155600000000002E-3</v>
      </c>
      <c r="AJ38" s="89">
        <v>2.9141100000000001E-3</v>
      </c>
      <c r="AK38" s="89">
        <v>1.0164259099999999</v>
      </c>
      <c r="AL38" s="89">
        <v>9.1454000000000004E-4</v>
      </c>
      <c r="AM38" s="90">
        <v>3.2867700000000001E-3</v>
      </c>
      <c r="AN38" s="91">
        <v>1.0818799800000001</v>
      </c>
      <c r="AO38" s="91">
        <v>0.60965064000000002</v>
      </c>
    </row>
    <row r="39" spans="1:41" x14ac:dyDescent="0.2">
      <c r="A39" s="92" t="s">
        <v>470</v>
      </c>
      <c r="B39" s="79" t="s">
        <v>471</v>
      </c>
      <c r="C39" s="88">
        <v>1.6081299999999999E-3</v>
      </c>
      <c r="D39" s="89">
        <v>1.8474100000000001E-3</v>
      </c>
      <c r="E39" s="89">
        <v>1.6434500000000001E-3</v>
      </c>
      <c r="F39" s="89">
        <v>1.9420399999999999E-3</v>
      </c>
      <c r="G39" s="89">
        <v>1.80945E-3</v>
      </c>
      <c r="H39" s="89">
        <v>1.30265E-3</v>
      </c>
      <c r="I39" s="89">
        <v>1.9296999999999999E-4</v>
      </c>
      <c r="J39" s="89">
        <v>9.3550999999999997E-4</v>
      </c>
      <c r="K39" s="89">
        <v>1.9208700000000001E-3</v>
      </c>
      <c r="L39" s="89">
        <v>8.0749999999999995E-4</v>
      </c>
      <c r="M39" s="89">
        <v>1.0078800000000001E-3</v>
      </c>
      <c r="N39" s="89">
        <v>1.0925100000000001E-3</v>
      </c>
      <c r="O39" s="89">
        <v>1.6177699999999999E-3</v>
      </c>
      <c r="P39" s="89">
        <v>1.7475100000000001E-3</v>
      </c>
      <c r="Q39" s="89">
        <v>1.6030300000000001E-3</v>
      </c>
      <c r="R39" s="89">
        <v>1.6433999999999999E-3</v>
      </c>
      <c r="S39" s="89">
        <v>1.7135799999999999E-3</v>
      </c>
      <c r="T39" s="89">
        <v>1.7109600000000001E-3</v>
      </c>
      <c r="U39" s="89">
        <v>1.2744799999999999E-3</v>
      </c>
      <c r="V39" s="89">
        <v>2.09516E-3</v>
      </c>
      <c r="W39" s="89">
        <v>1.7993799999999999E-3</v>
      </c>
      <c r="X39" s="89">
        <v>6.2237999999999996E-4</v>
      </c>
      <c r="Y39" s="89">
        <v>1.9302799999999999E-3</v>
      </c>
      <c r="Z39" s="89">
        <v>3.8915600000000001E-3</v>
      </c>
      <c r="AA39" s="89">
        <v>2.68958E-3</v>
      </c>
      <c r="AB39" s="89">
        <v>4.4433600000000004E-3</v>
      </c>
      <c r="AC39" s="89">
        <v>7.8134999999999999E-4</v>
      </c>
      <c r="AD39" s="89">
        <v>2.7204500000000001E-3</v>
      </c>
      <c r="AE39" s="89">
        <v>2.95298E-3</v>
      </c>
      <c r="AF39" s="89">
        <v>3.54171E-3</v>
      </c>
      <c r="AG39" s="89">
        <v>4.3299000000000002E-3</v>
      </c>
      <c r="AH39" s="89">
        <v>2.99928E-3</v>
      </c>
      <c r="AI39" s="89">
        <v>5.88975E-3</v>
      </c>
      <c r="AJ39" s="89">
        <v>2.3275700000000002E-3</v>
      </c>
      <c r="AK39" s="89">
        <v>2.7156099999999998E-3</v>
      </c>
      <c r="AL39" s="89">
        <v>1.0017334899999999</v>
      </c>
      <c r="AM39" s="90">
        <v>1.8269099999999999E-3</v>
      </c>
      <c r="AN39" s="91">
        <v>1.0767117900000001</v>
      </c>
      <c r="AO39" s="91">
        <v>0.60673832000000005</v>
      </c>
    </row>
    <row r="40" spans="1:41" x14ac:dyDescent="0.2">
      <c r="A40" s="92" t="s">
        <v>472</v>
      </c>
      <c r="B40" s="79" t="s">
        <v>387</v>
      </c>
      <c r="C40" s="88">
        <v>7.46329E-3</v>
      </c>
      <c r="D40" s="89">
        <v>1.572082E-2</v>
      </c>
      <c r="E40" s="89">
        <v>1.0365299999999999E-2</v>
      </c>
      <c r="F40" s="89">
        <v>5.0951399999999997E-3</v>
      </c>
      <c r="G40" s="89">
        <v>6.8768700000000002E-3</v>
      </c>
      <c r="H40" s="89">
        <v>4.1416700000000001E-3</v>
      </c>
      <c r="I40" s="89">
        <v>1.1693999999999999E-3</v>
      </c>
      <c r="J40" s="89">
        <v>5.1103800000000003E-3</v>
      </c>
      <c r="K40" s="89">
        <v>1.0774250000000001E-2</v>
      </c>
      <c r="L40" s="89">
        <v>8.9110700000000001E-3</v>
      </c>
      <c r="M40" s="89">
        <v>8.5086399999999996E-3</v>
      </c>
      <c r="N40" s="89">
        <v>7.7709900000000002E-3</v>
      </c>
      <c r="O40" s="89">
        <v>1.1378020000000001E-2</v>
      </c>
      <c r="P40" s="89">
        <v>9.5839299999999992E-3</v>
      </c>
      <c r="Q40" s="89">
        <v>5.4722E-3</v>
      </c>
      <c r="R40" s="89">
        <v>3.5046999999999999E-3</v>
      </c>
      <c r="S40" s="89">
        <v>5.5605000000000003E-3</v>
      </c>
      <c r="T40" s="89">
        <v>3.9189200000000002E-3</v>
      </c>
      <c r="U40" s="89">
        <v>5.8681100000000002E-3</v>
      </c>
      <c r="V40" s="89">
        <v>5.3276900000000004E-3</v>
      </c>
      <c r="W40" s="89">
        <v>1.734486E-2</v>
      </c>
      <c r="X40" s="89">
        <v>5.0834399999999998E-3</v>
      </c>
      <c r="Y40" s="89">
        <v>1.261932E-2</v>
      </c>
      <c r="Z40" s="89">
        <v>2.299534E-2</v>
      </c>
      <c r="AA40" s="89">
        <v>8.5517800000000001E-3</v>
      </c>
      <c r="AB40" s="89">
        <v>6.5194099999999998E-3</v>
      </c>
      <c r="AC40" s="89">
        <v>2.6603E-3</v>
      </c>
      <c r="AD40" s="89">
        <v>1.10902E-2</v>
      </c>
      <c r="AE40" s="89">
        <v>5.26715E-3</v>
      </c>
      <c r="AF40" s="89">
        <v>3.16168E-3</v>
      </c>
      <c r="AG40" s="89">
        <v>1.130625E-2</v>
      </c>
      <c r="AH40" s="89">
        <v>5.8939700000000001E-3</v>
      </c>
      <c r="AI40" s="89">
        <v>6.7649199999999998E-3</v>
      </c>
      <c r="AJ40" s="89">
        <v>5.0205099999999997E-3</v>
      </c>
      <c r="AK40" s="89">
        <v>6.4162899999999998E-3</v>
      </c>
      <c r="AL40" s="89">
        <v>6.4447100000000002E-3</v>
      </c>
      <c r="AM40" s="90">
        <v>1.00319315</v>
      </c>
      <c r="AN40" s="93">
        <v>1.2828551800000001</v>
      </c>
      <c r="AO40" s="93">
        <v>0.72290226000000002</v>
      </c>
    </row>
    <row r="41" spans="1:41" x14ac:dyDescent="0.2">
      <c r="A41" s="94"/>
      <c r="B41" s="95" t="s">
        <v>497</v>
      </c>
      <c r="C41" s="96">
        <v>1.7927982200000001</v>
      </c>
      <c r="D41" s="97">
        <v>1.7289712800000001</v>
      </c>
      <c r="E41" s="97">
        <v>1.96522171</v>
      </c>
      <c r="F41" s="97">
        <v>1.67496377</v>
      </c>
      <c r="G41" s="97">
        <v>2.0000953099999998</v>
      </c>
      <c r="H41" s="97">
        <v>1.9325384800000001</v>
      </c>
      <c r="I41" s="97">
        <v>1.17833835</v>
      </c>
      <c r="J41" s="97">
        <v>1.94464839</v>
      </c>
      <c r="K41" s="97">
        <v>1.67863414</v>
      </c>
      <c r="L41" s="97">
        <v>2.4718214999999999</v>
      </c>
      <c r="M41" s="97">
        <v>1.7734706600000001</v>
      </c>
      <c r="N41" s="97">
        <v>2.0192582200000002</v>
      </c>
      <c r="O41" s="97">
        <v>1.94419608</v>
      </c>
      <c r="P41" s="97">
        <v>1.9015386400000001</v>
      </c>
      <c r="Q41" s="97">
        <v>1.8283982700000001</v>
      </c>
      <c r="R41" s="97">
        <v>1.82136378</v>
      </c>
      <c r="S41" s="97">
        <v>1.90758809</v>
      </c>
      <c r="T41" s="97">
        <v>1.8370988100000001</v>
      </c>
      <c r="U41" s="97">
        <v>2.4822300500000001</v>
      </c>
      <c r="V41" s="97">
        <v>1.8104819999999999</v>
      </c>
      <c r="W41" s="97">
        <v>1.8364715899999999</v>
      </c>
      <c r="X41" s="97">
        <v>1.4999016300000001</v>
      </c>
      <c r="Y41" s="97">
        <v>1.79841699</v>
      </c>
      <c r="Z41" s="97">
        <v>1.51887448</v>
      </c>
      <c r="AA41" s="97">
        <v>1.4566119</v>
      </c>
      <c r="AB41" s="97">
        <v>1.4962153199999999</v>
      </c>
      <c r="AC41" s="97">
        <v>1.2306991300000001</v>
      </c>
      <c r="AD41" s="97">
        <v>1.69674166</v>
      </c>
      <c r="AE41" s="97">
        <v>1.75277941</v>
      </c>
      <c r="AF41" s="97">
        <v>1.4436420700000001</v>
      </c>
      <c r="AG41" s="97">
        <v>1.41416933</v>
      </c>
      <c r="AH41" s="97">
        <v>1.5600603</v>
      </c>
      <c r="AI41" s="97">
        <v>1.58602993</v>
      </c>
      <c r="AJ41" s="97">
        <v>1.58613059</v>
      </c>
      <c r="AK41" s="97">
        <v>1.72054639</v>
      </c>
      <c r="AL41" s="97">
        <v>2.4937687799999999</v>
      </c>
      <c r="AM41" s="98">
        <v>1.8751172300000001</v>
      </c>
      <c r="AN41" s="89"/>
      <c r="AO41" s="89"/>
    </row>
    <row r="42" spans="1:41" x14ac:dyDescent="0.2">
      <c r="A42" s="94"/>
      <c r="B42" s="95" t="s">
        <v>498</v>
      </c>
      <c r="C42" s="99">
        <v>1.0102604900000001</v>
      </c>
      <c r="D42" s="99">
        <v>0.97429334000000001</v>
      </c>
      <c r="E42" s="99">
        <v>1.1074229200000001</v>
      </c>
      <c r="F42" s="99">
        <v>0.94385954000000005</v>
      </c>
      <c r="G42" s="99">
        <v>1.1270745499999999</v>
      </c>
      <c r="H42" s="99">
        <v>1.0890055700000001</v>
      </c>
      <c r="I42" s="99">
        <v>0.66400594000000002</v>
      </c>
      <c r="J42" s="99">
        <v>1.09582964</v>
      </c>
      <c r="K42" s="99">
        <v>0.94592783000000003</v>
      </c>
      <c r="L42" s="99">
        <v>1.3928971800000001</v>
      </c>
      <c r="M42" s="99">
        <v>0.99936919999999996</v>
      </c>
      <c r="N42" s="99">
        <v>1.1378730500000001</v>
      </c>
      <c r="O42" s="99">
        <v>1.0955747499999999</v>
      </c>
      <c r="P42" s="99">
        <v>1.07153685</v>
      </c>
      <c r="Q42" s="99">
        <v>1.03032148</v>
      </c>
      <c r="R42" s="99">
        <v>1.02635747</v>
      </c>
      <c r="S42" s="99">
        <v>1.07494577</v>
      </c>
      <c r="T42" s="99">
        <v>1.0352243299999999</v>
      </c>
      <c r="U42" s="99">
        <v>1.3987624999999999</v>
      </c>
      <c r="V42" s="99">
        <v>1.0202254799999999</v>
      </c>
      <c r="W42" s="99">
        <v>1.0348708799999999</v>
      </c>
      <c r="X42" s="99">
        <v>0.84521020000000002</v>
      </c>
      <c r="Y42" s="99">
        <v>1.01342672</v>
      </c>
      <c r="Z42" s="99">
        <v>0.85590160000000004</v>
      </c>
      <c r="AA42" s="99">
        <v>0.82081599000000005</v>
      </c>
      <c r="AB42" s="99">
        <v>0.84313293</v>
      </c>
      <c r="AC42" s="99">
        <v>0.69351178999999996</v>
      </c>
      <c r="AD42" s="99">
        <v>0.95613161000000002</v>
      </c>
      <c r="AE42" s="99">
        <v>0.98770946999999998</v>
      </c>
      <c r="AF42" s="99">
        <v>0.81350736000000001</v>
      </c>
      <c r="AG42" s="99">
        <v>0.79689916000000005</v>
      </c>
      <c r="AH42" s="99">
        <v>0.87911024000000004</v>
      </c>
      <c r="AI42" s="99">
        <v>0.89374439000000006</v>
      </c>
      <c r="AJ42" s="99">
        <v>0.89380112</v>
      </c>
      <c r="AK42" s="99">
        <v>0.96954582</v>
      </c>
      <c r="AL42" s="99">
        <v>1.4052647</v>
      </c>
      <c r="AM42" s="100">
        <v>1.05664811</v>
      </c>
      <c r="AN42" s="89"/>
      <c r="AO42" s="89"/>
    </row>
    <row r="43" spans="1:41" x14ac:dyDescent="0.2">
      <c r="C43" s="89"/>
      <c r="D43" s="89"/>
      <c r="E43" s="89"/>
      <c r="F43" s="89"/>
      <c r="G43" s="89"/>
      <c r="H43" s="89"/>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row>
    <row r="44" spans="1:41" x14ac:dyDescent="0.2">
      <c r="C44" s="89"/>
      <c r="D44" s="89"/>
      <c r="E44" s="89"/>
      <c r="F44" s="89"/>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row>
    <row r="45" spans="1:41" x14ac:dyDescent="0.2">
      <c r="C45" s="89"/>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row>
  </sheetData>
  <mergeCells count="1">
    <mergeCell ref="C1:H1"/>
  </mergeCells>
  <phoneticPr fontId="3"/>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D1133-BBA4-4931-8374-2625BB5D56B3}">
  <dimension ref="A1:BH51"/>
  <sheetViews>
    <sheetView zoomScale="75" zoomScaleNormal="75" workbookViewId="0">
      <pane xSplit="2" ySplit="3" topLeftCell="AN4" activePane="bottomRight" state="frozen"/>
      <selection activeCell="D202" sqref="D202"/>
      <selection pane="topRight" activeCell="D202" sqref="D202"/>
      <selection pane="bottomLeft" activeCell="D202" sqref="D202"/>
      <selection pane="bottomRight" activeCell="D202" sqref="D202"/>
    </sheetView>
  </sheetViews>
  <sheetFormatPr defaultColWidth="16.140625" defaultRowHeight="12" x14ac:dyDescent="0.2"/>
  <cols>
    <col min="1" max="16384" width="16.140625" style="79"/>
  </cols>
  <sheetData>
    <row r="1" spans="1:60" x14ac:dyDescent="0.2">
      <c r="C1" s="193" t="s">
        <v>499</v>
      </c>
      <c r="D1" s="193"/>
      <c r="E1" s="193"/>
      <c r="F1" s="193"/>
      <c r="G1" s="193"/>
      <c r="H1" s="193"/>
      <c r="BF1" s="79" t="s">
        <v>500</v>
      </c>
    </row>
    <row r="2" spans="1:60" x14ac:dyDescent="0.2">
      <c r="A2" s="80"/>
      <c r="B2" s="81"/>
      <c r="C2" s="80" t="s">
        <v>406</v>
      </c>
      <c r="D2" s="81" t="s">
        <v>408</v>
      </c>
      <c r="E2" s="81" t="s">
        <v>410</v>
      </c>
      <c r="F2" s="81" t="s">
        <v>412</v>
      </c>
      <c r="G2" s="81" t="s">
        <v>414</v>
      </c>
      <c r="H2" s="81" t="s">
        <v>416</v>
      </c>
      <c r="I2" s="81" t="s">
        <v>418</v>
      </c>
      <c r="J2" s="81" t="s">
        <v>420</v>
      </c>
      <c r="K2" s="81" t="s">
        <v>422</v>
      </c>
      <c r="L2" s="81" t="s">
        <v>424</v>
      </c>
      <c r="M2" s="81" t="s">
        <v>426</v>
      </c>
      <c r="N2" s="81" t="s">
        <v>428</v>
      </c>
      <c r="O2" s="81" t="s">
        <v>430</v>
      </c>
      <c r="P2" s="81" t="s">
        <v>432</v>
      </c>
      <c r="Q2" s="81" t="s">
        <v>434</v>
      </c>
      <c r="R2" s="81" t="s">
        <v>436</v>
      </c>
      <c r="S2" s="81" t="s">
        <v>438</v>
      </c>
      <c r="T2" s="81" t="s">
        <v>440</v>
      </c>
      <c r="U2" s="81" t="s">
        <v>442</v>
      </c>
      <c r="V2" s="81" t="s">
        <v>444</v>
      </c>
      <c r="W2" s="81" t="s">
        <v>446</v>
      </c>
      <c r="X2" s="81" t="s">
        <v>448</v>
      </c>
      <c r="Y2" s="81" t="s">
        <v>450</v>
      </c>
      <c r="Z2" s="81" t="s">
        <v>452</v>
      </c>
      <c r="AA2" s="81" t="s">
        <v>454</v>
      </c>
      <c r="AB2" s="81" t="s">
        <v>455</v>
      </c>
      <c r="AC2" s="81" t="s">
        <v>456</v>
      </c>
      <c r="AD2" s="81" t="s">
        <v>458</v>
      </c>
      <c r="AE2" s="81" t="s">
        <v>459</v>
      </c>
      <c r="AF2" s="81" t="s">
        <v>460</v>
      </c>
      <c r="AG2" s="81" t="s">
        <v>462</v>
      </c>
      <c r="AH2" s="81" t="s">
        <v>464</v>
      </c>
      <c r="AI2" s="81" t="s">
        <v>466</v>
      </c>
      <c r="AJ2" s="81" t="s">
        <v>468</v>
      </c>
      <c r="AK2" s="81" t="s">
        <v>469</v>
      </c>
      <c r="AL2" s="81" t="s">
        <v>470</v>
      </c>
      <c r="AM2" s="82" t="s">
        <v>472</v>
      </c>
      <c r="AN2" s="83" t="s">
        <v>501</v>
      </c>
      <c r="AO2" s="81" t="s">
        <v>502</v>
      </c>
      <c r="AP2" s="81" t="s">
        <v>503</v>
      </c>
      <c r="AQ2" s="81" t="s">
        <v>504</v>
      </c>
      <c r="AR2" s="81" t="s">
        <v>505</v>
      </c>
      <c r="AS2" s="81" t="s">
        <v>506</v>
      </c>
      <c r="AT2" s="82" t="s">
        <v>507</v>
      </c>
      <c r="AU2" s="83" t="s">
        <v>508</v>
      </c>
      <c r="AV2" s="83" t="s">
        <v>509</v>
      </c>
      <c r="AW2" s="82" t="s">
        <v>510</v>
      </c>
      <c r="AX2" s="83" t="s">
        <v>511</v>
      </c>
      <c r="AY2" s="83" t="s">
        <v>512</v>
      </c>
      <c r="AZ2" s="83" t="s">
        <v>513</v>
      </c>
      <c r="BA2" s="81" t="s">
        <v>514</v>
      </c>
      <c r="BB2" s="81" t="s">
        <v>515</v>
      </c>
      <c r="BC2" s="82" t="s">
        <v>516</v>
      </c>
      <c r="BD2" s="82" t="s">
        <v>517</v>
      </c>
      <c r="BE2" s="83" t="s">
        <v>518</v>
      </c>
      <c r="BF2" s="83" t="s">
        <v>519</v>
      </c>
    </row>
    <row r="3" spans="1:60" x14ac:dyDescent="0.2">
      <c r="A3" s="84"/>
      <c r="B3" s="85"/>
      <c r="C3" s="84" t="s">
        <v>407</v>
      </c>
      <c r="D3" s="85" t="s">
        <v>409</v>
      </c>
      <c r="E3" s="85" t="s">
        <v>411</v>
      </c>
      <c r="F3" s="85" t="s">
        <v>413</v>
      </c>
      <c r="G3" s="85" t="s">
        <v>415</v>
      </c>
      <c r="H3" s="85" t="s">
        <v>417</v>
      </c>
      <c r="I3" s="85" t="s">
        <v>419</v>
      </c>
      <c r="J3" s="85" t="s">
        <v>421</v>
      </c>
      <c r="K3" s="85" t="s">
        <v>423</v>
      </c>
      <c r="L3" s="85" t="s">
        <v>425</v>
      </c>
      <c r="M3" s="85" t="s">
        <v>427</v>
      </c>
      <c r="N3" s="85" t="s">
        <v>429</v>
      </c>
      <c r="O3" s="85" t="s">
        <v>431</v>
      </c>
      <c r="P3" s="85" t="s">
        <v>433</v>
      </c>
      <c r="Q3" s="85" t="s">
        <v>435</v>
      </c>
      <c r="R3" s="85" t="s">
        <v>437</v>
      </c>
      <c r="S3" s="85" t="s">
        <v>439</v>
      </c>
      <c r="T3" s="85" t="s">
        <v>441</v>
      </c>
      <c r="U3" s="85" t="s">
        <v>443</v>
      </c>
      <c r="V3" s="85" t="s">
        <v>445</v>
      </c>
      <c r="W3" s="85" t="s">
        <v>447</v>
      </c>
      <c r="X3" s="85" t="s">
        <v>449</v>
      </c>
      <c r="Y3" s="85" t="s">
        <v>451</v>
      </c>
      <c r="Z3" s="85" t="s">
        <v>453</v>
      </c>
      <c r="AA3" s="85" t="s">
        <v>395</v>
      </c>
      <c r="AB3" s="85" t="s">
        <v>383</v>
      </c>
      <c r="AC3" s="85" t="s">
        <v>457</v>
      </c>
      <c r="AD3" s="85" t="s">
        <v>384</v>
      </c>
      <c r="AE3" s="85" t="s">
        <v>380</v>
      </c>
      <c r="AF3" s="85" t="s">
        <v>461</v>
      </c>
      <c r="AG3" s="85" t="s">
        <v>463</v>
      </c>
      <c r="AH3" s="85" t="s">
        <v>465</v>
      </c>
      <c r="AI3" s="85" t="s">
        <v>467</v>
      </c>
      <c r="AJ3" s="85" t="s">
        <v>385</v>
      </c>
      <c r="AK3" s="85" t="s">
        <v>386</v>
      </c>
      <c r="AL3" s="85" t="s">
        <v>471</v>
      </c>
      <c r="AM3" s="86" t="s">
        <v>387</v>
      </c>
      <c r="AN3" s="87" t="s">
        <v>520</v>
      </c>
      <c r="AO3" s="85" t="s">
        <v>521</v>
      </c>
      <c r="AP3" s="85" t="s">
        <v>522</v>
      </c>
      <c r="AQ3" s="85" t="s">
        <v>523</v>
      </c>
      <c r="AR3" s="85" t="s">
        <v>524</v>
      </c>
      <c r="AS3" s="85" t="s">
        <v>525</v>
      </c>
      <c r="AT3" s="86" t="s">
        <v>526</v>
      </c>
      <c r="AU3" s="87" t="s">
        <v>527</v>
      </c>
      <c r="AV3" s="87" t="s">
        <v>528</v>
      </c>
      <c r="AW3" s="86" t="s">
        <v>529</v>
      </c>
      <c r="AX3" s="87" t="s">
        <v>530</v>
      </c>
      <c r="AY3" s="87" t="s">
        <v>531</v>
      </c>
      <c r="AZ3" s="87" t="s">
        <v>532</v>
      </c>
      <c r="BA3" s="85" t="s">
        <v>533</v>
      </c>
      <c r="BB3" s="85" t="s">
        <v>534</v>
      </c>
      <c r="BC3" s="86" t="s">
        <v>535</v>
      </c>
      <c r="BD3" s="86" t="s">
        <v>536</v>
      </c>
      <c r="BE3" s="87" t="s">
        <v>537</v>
      </c>
      <c r="BF3" s="87" t="s">
        <v>538</v>
      </c>
      <c r="BH3" s="101" t="s">
        <v>474</v>
      </c>
    </row>
    <row r="4" spans="1:60" x14ac:dyDescent="0.2">
      <c r="A4" s="80" t="s">
        <v>406</v>
      </c>
      <c r="B4" s="81" t="s">
        <v>407</v>
      </c>
      <c r="C4" s="92">
        <v>1566738</v>
      </c>
      <c r="D4" s="79">
        <v>63</v>
      </c>
      <c r="E4" s="79">
        <v>7487651</v>
      </c>
      <c r="F4" s="79">
        <v>29357</v>
      </c>
      <c r="G4" s="79">
        <v>362449</v>
      </c>
      <c r="H4" s="79">
        <v>41547</v>
      </c>
      <c r="I4" s="79">
        <v>0</v>
      </c>
      <c r="J4" s="79">
        <v>156018</v>
      </c>
      <c r="K4" s="79">
        <v>922</v>
      </c>
      <c r="L4" s="79">
        <v>2</v>
      </c>
      <c r="M4" s="79">
        <v>116</v>
      </c>
      <c r="N4" s="79">
        <v>0</v>
      </c>
      <c r="O4" s="79">
        <v>0</v>
      </c>
      <c r="P4" s="79">
        <v>0</v>
      </c>
      <c r="Q4" s="79">
        <v>0</v>
      </c>
      <c r="R4" s="79">
        <v>0</v>
      </c>
      <c r="S4" s="79">
        <v>0</v>
      </c>
      <c r="T4" s="79">
        <v>0</v>
      </c>
      <c r="U4" s="79">
        <v>14</v>
      </c>
      <c r="V4" s="79">
        <v>70215</v>
      </c>
      <c r="W4" s="79">
        <v>63474</v>
      </c>
      <c r="X4" s="79">
        <v>0</v>
      </c>
      <c r="Y4" s="79">
        <v>0</v>
      </c>
      <c r="Z4" s="79">
        <v>0</v>
      </c>
      <c r="AA4" s="79">
        <v>11343</v>
      </c>
      <c r="AB4" s="79">
        <v>0</v>
      </c>
      <c r="AC4" s="79">
        <v>181</v>
      </c>
      <c r="AD4" s="79">
        <v>2269</v>
      </c>
      <c r="AE4" s="79">
        <v>0</v>
      </c>
      <c r="AF4" s="79">
        <v>1728</v>
      </c>
      <c r="AG4" s="79">
        <v>92597</v>
      </c>
      <c r="AH4" s="79">
        <v>194454</v>
      </c>
      <c r="AI4" s="79">
        <v>9212</v>
      </c>
      <c r="AJ4" s="79">
        <v>866</v>
      </c>
      <c r="AK4" s="79">
        <v>1219209</v>
      </c>
      <c r="AL4" s="79">
        <v>0</v>
      </c>
      <c r="AM4" s="102">
        <v>0</v>
      </c>
      <c r="AN4" s="103">
        <v>11310425</v>
      </c>
      <c r="AO4" s="79">
        <v>67984</v>
      </c>
      <c r="AP4" s="79">
        <v>3821831</v>
      </c>
      <c r="AQ4" s="79">
        <v>0</v>
      </c>
      <c r="AR4" s="79">
        <v>0</v>
      </c>
      <c r="AS4" s="79">
        <v>193424</v>
      </c>
      <c r="AT4" s="102">
        <v>189251</v>
      </c>
      <c r="AU4" s="103">
        <v>4272490</v>
      </c>
      <c r="AV4" s="103">
        <v>15582915</v>
      </c>
      <c r="AW4" s="102">
        <v>112607</v>
      </c>
      <c r="AX4" s="103">
        <v>112607</v>
      </c>
      <c r="AY4" s="103">
        <v>4385097</v>
      </c>
      <c r="AZ4" s="103">
        <v>15695522</v>
      </c>
      <c r="BA4" s="79">
        <v>-2553754</v>
      </c>
      <c r="BB4" s="79">
        <v>-46311</v>
      </c>
      <c r="BC4" s="102">
        <v>-207835</v>
      </c>
      <c r="BD4" s="102">
        <v>-2807900</v>
      </c>
      <c r="BE4" s="103">
        <v>1577197</v>
      </c>
      <c r="BF4" s="103">
        <v>12887622</v>
      </c>
      <c r="BH4" s="101">
        <f>1-(BD4*-1)/AV4</f>
        <v>0.81980906653216035</v>
      </c>
    </row>
    <row r="5" spans="1:60" x14ac:dyDescent="0.2">
      <c r="A5" s="92" t="s">
        <v>408</v>
      </c>
      <c r="B5" s="79" t="s">
        <v>409</v>
      </c>
      <c r="C5" s="92">
        <v>410</v>
      </c>
      <c r="D5" s="79">
        <v>1501</v>
      </c>
      <c r="E5" s="79">
        <v>11031</v>
      </c>
      <c r="F5" s="79">
        <v>1328</v>
      </c>
      <c r="G5" s="79">
        <v>53346</v>
      </c>
      <c r="H5" s="79">
        <v>142794</v>
      </c>
      <c r="I5" s="79">
        <v>9840027</v>
      </c>
      <c r="J5" s="79">
        <v>1643</v>
      </c>
      <c r="K5" s="79">
        <v>406795</v>
      </c>
      <c r="L5" s="79">
        <v>1368348</v>
      </c>
      <c r="M5" s="79">
        <v>1264267</v>
      </c>
      <c r="N5" s="79">
        <v>3009</v>
      </c>
      <c r="O5" s="79">
        <v>633</v>
      </c>
      <c r="P5" s="79">
        <v>942</v>
      </c>
      <c r="Q5" s="79">
        <v>375</v>
      </c>
      <c r="R5" s="79">
        <v>2263</v>
      </c>
      <c r="S5" s="79">
        <v>748</v>
      </c>
      <c r="T5" s="79">
        <v>163</v>
      </c>
      <c r="U5" s="79">
        <v>5945</v>
      </c>
      <c r="V5" s="79">
        <v>4505</v>
      </c>
      <c r="W5" s="79">
        <v>380410</v>
      </c>
      <c r="X5" s="79">
        <v>7618810</v>
      </c>
      <c r="Y5" s="79">
        <v>0</v>
      </c>
      <c r="Z5" s="79">
        <v>11</v>
      </c>
      <c r="AA5" s="79">
        <v>264</v>
      </c>
      <c r="AB5" s="79">
        <v>42</v>
      </c>
      <c r="AC5" s="79">
        <v>78</v>
      </c>
      <c r="AD5" s="79">
        <v>445</v>
      </c>
      <c r="AE5" s="79">
        <v>17</v>
      </c>
      <c r="AF5" s="79">
        <v>442</v>
      </c>
      <c r="AG5" s="79">
        <v>1732</v>
      </c>
      <c r="AH5" s="79">
        <v>610</v>
      </c>
      <c r="AI5" s="79">
        <v>282</v>
      </c>
      <c r="AJ5" s="79">
        <v>656</v>
      </c>
      <c r="AK5" s="79">
        <v>1121</v>
      </c>
      <c r="AL5" s="79">
        <v>0</v>
      </c>
      <c r="AM5" s="102">
        <v>1035</v>
      </c>
      <c r="AN5" s="103">
        <v>21116028</v>
      </c>
      <c r="AO5" s="79">
        <v>-5364</v>
      </c>
      <c r="AP5" s="79">
        <v>-6120</v>
      </c>
      <c r="AQ5" s="79">
        <v>0</v>
      </c>
      <c r="AR5" s="79">
        <v>0</v>
      </c>
      <c r="AS5" s="79">
        <v>-6516</v>
      </c>
      <c r="AT5" s="102">
        <v>-1851</v>
      </c>
      <c r="AU5" s="103">
        <v>-19851</v>
      </c>
      <c r="AV5" s="103">
        <v>21096177</v>
      </c>
      <c r="AW5" s="102">
        <v>45075</v>
      </c>
      <c r="AX5" s="103">
        <v>45075</v>
      </c>
      <c r="AY5" s="103">
        <v>25224</v>
      </c>
      <c r="AZ5" s="103">
        <v>21141252</v>
      </c>
      <c r="BA5" s="79">
        <v>-18141519</v>
      </c>
      <c r="BB5" s="79">
        <v>0</v>
      </c>
      <c r="BC5" s="102">
        <v>-2151818</v>
      </c>
      <c r="BD5" s="102">
        <v>-20293337</v>
      </c>
      <c r="BE5" s="103">
        <v>-20268113</v>
      </c>
      <c r="BF5" s="103">
        <v>847915</v>
      </c>
      <c r="BH5" s="101">
        <f t="shared" ref="BH5:BH41" si="0">1-(BD5*-1)/AV5</f>
        <v>3.8056184302966312E-2</v>
      </c>
    </row>
    <row r="6" spans="1:60" x14ac:dyDescent="0.2">
      <c r="A6" s="92" t="s">
        <v>410</v>
      </c>
      <c r="B6" s="79" t="s">
        <v>411</v>
      </c>
      <c r="C6" s="92">
        <v>1484167</v>
      </c>
      <c r="D6" s="79">
        <v>0</v>
      </c>
      <c r="E6" s="79">
        <v>6974720</v>
      </c>
      <c r="F6" s="79">
        <v>8167</v>
      </c>
      <c r="G6" s="79">
        <v>19844</v>
      </c>
      <c r="H6" s="79">
        <v>198986</v>
      </c>
      <c r="I6" s="79">
        <v>70</v>
      </c>
      <c r="J6" s="79">
        <v>226</v>
      </c>
      <c r="K6" s="79">
        <v>3007</v>
      </c>
      <c r="L6" s="79">
        <v>21</v>
      </c>
      <c r="M6" s="79">
        <v>0</v>
      </c>
      <c r="N6" s="79">
        <v>0</v>
      </c>
      <c r="O6" s="79">
        <v>0</v>
      </c>
      <c r="P6" s="79">
        <v>0</v>
      </c>
      <c r="Q6" s="79">
        <v>0</v>
      </c>
      <c r="R6" s="79">
        <v>0</v>
      </c>
      <c r="S6" s="79">
        <v>0</v>
      </c>
      <c r="T6" s="79">
        <v>0</v>
      </c>
      <c r="U6" s="79">
        <v>0</v>
      </c>
      <c r="V6" s="79">
        <v>31038</v>
      </c>
      <c r="W6" s="79">
        <v>1513</v>
      </c>
      <c r="X6" s="79">
        <v>0</v>
      </c>
      <c r="Y6" s="79">
        <v>0</v>
      </c>
      <c r="Z6" s="79">
        <v>0</v>
      </c>
      <c r="AA6" s="79">
        <v>13429</v>
      </c>
      <c r="AB6" s="79">
        <v>0</v>
      </c>
      <c r="AC6" s="79">
        <v>0</v>
      </c>
      <c r="AD6" s="79">
        <v>9025</v>
      </c>
      <c r="AE6" s="79">
        <v>15</v>
      </c>
      <c r="AF6" s="79">
        <v>12837</v>
      </c>
      <c r="AG6" s="79">
        <v>244656</v>
      </c>
      <c r="AH6" s="79">
        <v>577423</v>
      </c>
      <c r="AI6" s="79">
        <v>6238</v>
      </c>
      <c r="AJ6" s="79">
        <v>398</v>
      </c>
      <c r="AK6" s="79">
        <v>7210056</v>
      </c>
      <c r="AL6" s="79">
        <v>0</v>
      </c>
      <c r="AM6" s="102">
        <v>14328</v>
      </c>
      <c r="AN6" s="103">
        <v>16810164</v>
      </c>
      <c r="AO6" s="79">
        <v>872655</v>
      </c>
      <c r="AP6" s="79">
        <v>27790393</v>
      </c>
      <c r="AQ6" s="79">
        <v>0</v>
      </c>
      <c r="AR6" s="79">
        <v>0</v>
      </c>
      <c r="AS6" s="79">
        <v>0</v>
      </c>
      <c r="AT6" s="102">
        <v>-17198</v>
      </c>
      <c r="AU6" s="103">
        <v>28645850</v>
      </c>
      <c r="AV6" s="103">
        <v>45456014</v>
      </c>
      <c r="AW6" s="102">
        <v>690924</v>
      </c>
      <c r="AX6" s="103">
        <v>690924</v>
      </c>
      <c r="AY6" s="103">
        <v>29336774</v>
      </c>
      <c r="AZ6" s="103">
        <v>46146938</v>
      </c>
      <c r="BA6" s="79">
        <v>-5801838</v>
      </c>
      <c r="BB6" s="79">
        <v>-450537</v>
      </c>
      <c r="BC6" s="102">
        <v>-1553914</v>
      </c>
      <c r="BD6" s="102">
        <v>-7806289</v>
      </c>
      <c r="BE6" s="103">
        <v>21530485</v>
      </c>
      <c r="BF6" s="103">
        <v>38340649</v>
      </c>
      <c r="BH6" s="101">
        <f t="shared" si="0"/>
        <v>0.8282671903436144</v>
      </c>
    </row>
    <row r="7" spans="1:60" x14ac:dyDescent="0.2">
      <c r="A7" s="92" t="s">
        <v>412</v>
      </c>
      <c r="B7" s="79" t="s">
        <v>413</v>
      </c>
      <c r="C7" s="92">
        <v>75909</v>
      </c>
      <c r="D7" s="79">
        <v>3309</v>
      </c>
      <c r="E7" s="79">
        <v>37996</v>
      </c>
      <c r="F7" s="79">
        <v>845758</v>
      </c>
      <c r="G7" s="79">
        <v>77996</v>
      </c>
      <c r="H7" s="79">
        <v>27149</v>
      </c>
      <c r="I7" s="79">
        <v>445</v>
      </c>
      <c r="J7" s="79">
        <v>76215</v>
      </c>
      <c r="K7" s="79">
        <v>19909</v>
      </c>
      <c r="L7" s="79">
        <v>9092</v>
      </c>
      <c r="M7" s="79">
        <v>7767</v>
      </c>
      <c r="N7" s="79">
        <v>14510</v>
      </c>
      <c r="O7" s="79">
        <v>11271</v>
      </c>
      <c r="P7" s="79">
        <v>22112</v>
      </c>
      <c r="Q7" s="79">
        <v>7746</v>
      </c>
      <c r="R7" s="79">
        <v>48969</v>
      </c>
      <c r="S7" s="79">
        <v>39787</v>
      </c>
      <c r="T7" s="79">
        <v>9172</v>
      </c>
      <c r="U7" s="79">
        <v>93332</v>
      </c>
      <c r="V7" s="79">
        <v>43694</v>
      </c>
      <c r="W7" s="79">
        <v>190998</v>
      </c>
      <c r="X7" s="79">
        <v>3739</v>
      </c>
      <c r="Y7" s="79">
        <v>4292</v>
      </c>
      <c r="Z7" s="79">
        <v>9359</v>
      </c>
      <c r="AA7" s="79">
        <v>400604</v>
      </c>
      <c r="AB7" s="79">
        <v>53367</v>
      </c>
      <c r="AC7" s="79">
        <v>2210</v>
      </c>
      <c r="AD7" s="79">
        <v>90055</v>
      </c>
      <c r="AE7" s="79">
        <v>52812</v>
      </c>
      <c r="AF7" s="79">
        <v>131088</v>
      </c>
      <c r="AG7" s="79">
        <v>21999</v>
      </c>
      <c r="AH7" s="79">
        <v>198143</v>
      </c>
      <c r="AI7" s="79">
        <v>111852</v>
      </c>
      <c r="AJ7" s="79">
        <v>147996</v>
      </c>
      <c r="AK7" s="79">
        <v>196041</v>
      </c>
      <c r="AL7" s="79">
        <v>28541</v>
      </c>
      <c r="AM7" s="102">
        <v>2386</v>
      </c>
      <c r="AN7" s="103">
        <v>3117620</v>
      </c>
      <c r="AO7" s="79">
        <v>110641</v>
      </c>
      <c r="AP7" s="79">
        <v>4394578</v>
      </c>
      <c r="AQ7" s="79">
        <v>0</v>
      </c>
      <c r="AR7" s="79">
        <v>833</v>
      </c>
      <c r="AS7" s="79">
        <v>318688</v>
      </c>
      <c r="AT7" s="102">
        <v>150330</v>
      </c>
      <c r="AU7" s="103">
        <v>4975070</v>
      </c>
      <c r="AV7" s="103">
        <v>8092690</v>
      </c>
      <c r="AW7" s="102">
        <v>647831</v>
      </c>
      <c r="AX7" s="103">
        <v>647831</v>
      </c>
      <c r="AY7" s="103">
        <v>5622901</v>
      </c>
      <c r="AZ7" s="103">
        <v>8740521</v>
      </c>
      <c r="BA7" s="79">
        <v>-4509515</v>
      </c>
      <c r="BB7" s="79">
        <v>-269337</v>
      </c>
      <c r="BC7" s="102">
        <v>-375669</v>
      </c>
      <c r="BD7" s="102">
        <v>-5154521</v>
      </c>
      <c r="BE7" s="103">
        <v>468380</v>
      </c>
      <c r="BF7" s="103">
        <v>3586000</v>
      </c>
      <c r="BH7" s="101">
        <f t="shared" si="0"/>
        <v>0.36306456814730326</v>
      </c>
    </row>
    <row r="8" spans="1:60" x14ac:dyDescent="0.2">
      <c r="A8" s="92" t="s">
        <v>414</v>
      </c>
      <c r="B8" s="79" t="s">
        <v>415</v>
      </c>
      <c r="C8" s="92">
        <v>280327</v>
      </c>
      <c r="D8" s="79">
        <v>2115</v>
      </c>
      <c r="E8" s="79">
        <v>644298</v>
      </c>
      <c r="F8" s="79">
        <v>21679</v>
      </c>
      <c r="G8" s="79">
        <v>3414250</v>
      </c>
      <c r="H8" s="79">
        <v>382867</v>
      </c>
      <c r="I8" s="79">
        <v>264</v>
      </c>
      <c r="J8" s="79">
        <v>91895</v>
      </c>
      <c r="K8" s="79">
        <v>123023</v>
      </c>
      <c r="L8" s="79">
        <v>9056</v>
      </c>
      <c r="M8" s="79">
        <v>20432</v>
      </c>
      <c r="N8" s="79">
        <v>41221</v>
      </c>
      <c r="O8" s="79">
        <v>16777</v>
      </c>
      <c r="P8" s="79">
        <v>19077</v>
      </c>
      <c r="Q8" s="79">
        <v>35241</v>
      </c>
      <c r="R8" s="79">
        <v>81283</v>
      </c>
      <c r="S8" s="79">
        <v>115269</v>
      </c>
      <c r="T8" s="79">
        <v>31829</v>
      </c>
      <c r="U8" s="79">
        <v>76729</v>
      </c>
      <c r="V8" s="79">
        <v>851326</v>
      </c>
      <c r="W8" s="79">
        <v>2866100</v>
      </c>
      <c r="X8" s="79">
        <v>62608</v>
      </c>
      <c r="Y8" s="79">
        <v>12962</v>
      </c>
      <c r="Z8" s="79">
        <v>16720</v>
      </c>
      <c r="AA8" s="79">
        <v>763941</v>
      </c>
      <c r="AB8" s="79">
        <v>155051</v>
      </c>
      <c r="AC8" s="79">
        <v>34739</v>
      </c>
      <c r="AD8" s="79">
        <v>248724</v>
      </c>
      <c r="AE8" s="79">
        <v>696811</v>
      </c>
      <c r="AF8" s="79">
        <v>49782</v>
      </c>
      <c r="AG8" s="79">
        <v>289480</v>
      </c>
      <c r="AH8" s="79">
        <v>368696</v>
      </c>
      <c r="AI8" s="79">
        <v>80606</v>
      </c>
      <c r="AJ8" s="79">
        <v>256750</v>
      </c>
      <c r="AK8" s="79">
        <v>316923</v>
      </c>
      <c r="AL8" s="79">
        <v>632096</v>
      </c>
      <c r="AM8" s="102">
        <v>5691</v>
      </c>
      <c r="AN8" s="103">
        <v>13116638</v>
      </c>
      <c r="AO8" s="79">
        <v>72053</v>
      </c>
      <c r="AP8" s="79">
        <v>344623</v>
      </c>
      <c r="AQ8" s="79">
        <v>2075</v>
      </c>
      <c r="AR8" s="79">
        <v>14183</v>
      </c>
      <c r="AS8" s="79">
        <v>445161</v>
      </c>
      <c r="AT8" s="102">
        <v>-65849</v>
      </c>
      <c r="AU8" s="103">
        <v>812246</v>
      </c>
      <c r="AV8" s="103">
        <v>13928884</v>
      </c>
      <c r="AW8" s="102">
        <v>591187</v>
      </c>
      <c r="AX8" s="103">
        <v>591187</v>
      </c>
      <c r="AY8" s="103">
        <v>1403433</v>
      </c>
      <c r="AZ8" s="103">
        <v>14520071</v>
      </c>
      <c r="BA8" s="79">
        <v>-2347585</v>
      </c>
      <c r="BB8" s="79">
        <v>-29324</v>
      </c>
      <c r="BC8" s="102">
        <v>-189533</v>
      </c>
      <c r="BD8" s="102">
        <v>-2566442</v>
      </c>
      <c r="BE8" s="103">
        <v>-1163009</v>
      </c>
      <c r="BF8" s="103">
        <v>11953629</v>
      </c>
      <c r="BH8" s="101">
        <f t="shared" si="0"/>
        <v>0.81574676047269834</v>
      </c>
    </row>
    <row r="9" spans="1:60" x14ac:dyDescent="0.2">
      <c r="A9" s="92" t="s">
        <v>416</v>
      </c>
      <c r="B9" s="79" t="s">
        <v>417</v>
      </c>
      <c r="C9" s="92">
        <v>689604</v>
      </c>
      <c r="D9" s="79">
        <v>12481</v>
      </c>
      <c r="E9" s="79">
        <v>394161</v>
      </c>
      <c r="F9" s="79">
        <v>392524</v>
      </c>
      <c r="G9" s="79">
        <v>417882</v>
      </c>
      <c r="H9" s="79">
        <v>9633368</v>
      </c>
      <c r="I9" s="79">
        <v>30966</v>
      </c>
      <c r="J9" s="79">
        <v>2714001</v>
      </c>
      <c r="K9" s="79">
        <v>206885</v>
      </c>
      <c r="L9" s="79">
        <v>100710</v>
      </c>
      <c r="M9" s="79">
        <v>74487</v>
      </c>
      <c r="N9" s="79">
        <v>102467</v>
      </c>
      <c r="O9" s="79">
        <v>45159</v>
      </c>
      <c r="P9" s="79">
        <v>66366</v>
      </c>
      <c r="Q9" s="79">
        <v>113719</v>
      </c>
      <c r="R9" s="79">
        <v>233312</v>
      </c>
      <c r="S9" s="79">
        <v>213580</v>
      </c>
      <c r="T9" s="79">
        <v>55140</v>
      </c>
      <c r="U9" s="79">
        <v>536979</v>
      </c>
      <c r="V9" s="79">
        <v>331903</v>
      </c>
      <c r="W9" s="79">
        <v>328891</v>
      </c>
      <c r="X9" s="79">
        <v>18489</v>
      </c>
      <c r="Y9" s="79">
        <v>39859</v>
      </c>
      <c r="Z9" s="79">
        <v>69331</v>
      </c>
      <c r="AA9" s="79">
        <v>848</v>
      </c>
      <c r="AB9" s="79">
        <v>807</v>
      </c>
      <c r="AC9" s="79">
        <v>2810</v>
      </c>
      <c r="AD9" s="79">
        <v>24020</v>
      </c>
      <c r="AE9" s="79">
        <v>64166</v>
      </c>
      <c r="AF9" s="79">
        <v>36040</v>
      </c>
      <c r="AG9" s="79">
        <v>345042</v>
      </c>
      <c r="AH9" s="79">
        <v>8789717</v>
      </c>
      <c r="AI9" s="79">
        <v>10480</v>
      </c>
      <c r="AJ9" s="79">
        <v>309107</v>
      </c>
      <c r="AK9" s="79">
        <v>338082</v>
      </c>
      <c r="AL9" s="79">
        <v>13665</v>
      </c>
      <c r="AM9" s="102">
        <v>34291</v>
      </c>
      <c r="AN9" s="103">
        <v>26791339</v>
      </c>
      <c r="AO9" s="79">
        <v>173182</v>
      </c>
      <c r="AP9" s="79">
        <v>2539696</v>
      </c>
      <c r="AQ9" s="79">
        <v>0</v>
      </c>
      <c r="AR9" s="79">
        <v>0</v>
      </c>
      <c r="AS9" s="79">
        <v>0</v>
      </c>
      <c r="AT9" s="102">
        <v>-120697</v>
      </c>
      <c r="AU9" s="103">
        <v>2592181</v>
      </c>
      <c r="AV9" s="103">
        <v>29383520</v>
      </c>
      <c r="AW9" s="102">
        <v>6349500</v>
      </c>
      <c r="AX9" s="103">
        <v>6349500</v>
      </c>
      <c r="AY9" s="103">
        <v>8941681</v>
      </c>
      <c r="AZ9" s="103">
        <v>35733020</v>
      </c>
      <c r="BA9" s="79">
        <v>-7104705</v>
      </c>
      <c r="BB9" s="79">
        <v>-51735</v>
      </c>
      <c r="BC9" s="102">
        <v>-569648</v>
      </c>
      <c r="BD9" s="102">
        <v>-7726088</v>
      </c>
      <c r="BE9" s="103">
        <v>1215593</v>
      </c>
      <c r="BF9" s="103">
        <v>28006932</v>
      </c>
      <c r="BH9" s="101">
        <f t="shared" si="0"/>
        <v>0.73706050194122419</v>
      </c>
    </row>
    <row r="10" spans="1:60" x14ac:dyDescent="0.2">
      <c r="A10" s="92" t="s">
        <v>418</v>
      </c>
      <c r="B10" s="79" t="s">
        <v>419</v>
      </c>
      <c r="C10" s="92">
        <v>159025</v>
      </c>
      <c r="D10" s="79">
        <v>18930</v>
      </c>
      <c r="E10" s="79">
        <v>154934</v>
      </c>
      <c r="F10" s="79">
        <v>21182</v>
      </c>
      <c r="G10" s="79">
        <v>45936</v>
      </c>
      <c r="H10" s="79">
        <v>2173173</v>
      </c>
      <c r="I10" s="79">
        <v>1038825</v>
      </c>
      <c r="J10" s="79">
        <v>26972</v>
      </c>
      <c r="K10" s="79">
        <v>134436</v>
      </c>
      <c r="L10" s="79">
        <v>611255</v>
      </c>
      <c r="M10" s="79">
        <v>23768</v>
      </c>
      <c r="N10" s="79">
        <v>34669</v>
      </c>
      <c r="O10" s="79">
        <v>13395</v>
      </c>
      <c r="P10" s="79">
        <v>18040</v>
      </c>
      <c r="Q10" s="79">
        <v>6266</v>
      </c>
      <c r="R10" s="79">
        <v>18335</v>
      </c>
      <c r="S10" s="79">
        <v>16857</v>
      </c>
      <c r="T10" s="79">
        <v>2420</v>
      </c>
      <c r="U10" s="79">
        <v>107538</v>
      </c>
      <c r="V10" s="79">
        <v>18921</v>
      </c>
      <c r="W10" s="79">
        <v>742599</v>
      </c>
      <c r="X10" s="79">
        <v>1225770</v>
      </c>
      <c r="Y10" s="79">
        <v>52127</v>
      </c>
      <c r="Z10" s="79">
        <v>56369</v>
      </c>
      <c r="AA10" s="79">
        <v>150053</v>
      </c>
      <c r="AB10" s="79">
        <v>15618</v>
      </c>
      <c r="AC10" s="79">
        <v>32317</v>
      </c>
      <c r="AD10" s="79">
        <v>5448108</v>
      </c>
      <c r="AE10" s="79">
        <v>39118</v>
      </c>
      <c r="AF10" s="79">
        <v>426913</v>
      </c>
      <c r="AG10" s="79">
        <v>151815</v>
      </c>
      <c r="AH10" s="79">
        <v>151734</v>
      </c>
      <c r="AI10" s="79">
        <v>15473</v>
      </c>
      <c r="AJ10" s="79">
        <v>154137</v>
      </c>
      <c r="AK10" s="79">
        <v>271152</v>
      </c>
      <c r="AL10" s="79">
        <v>0</v>
      </c>
      <c r="AM10" s="102">
        <v>90862</v>
      </c>
      <c r="AN10" s="103">
        <v>13669042</v>
      </c>
      <c r="AO10" s="79">
        <v>15891</v>
      </c>
      <c r="AP10" s="79">
        <v>5086789</v>
      </c>
      <c r="AQ10" s="79">
        <v>0</v>
      </c>
      <c r="AR10" s="79">
        <v>0</v>
      </c>
      <c r="AS10" s="79">
        <v>0</v>
      </c>
      <c r="AT10" s="102">
        <v>-29593</v>
      </c>
      <c r="AU10" s="103">
        <v>5073087</v>
      </c>
      <c r="AV10" s="103">
        <v>18742129</v>
      </c>
      <c r="AW10" s="102">
        <v>1444185</v>
      </c>
      <c r="AX10" s="103">
        <v>1444185</v>
      </c>
      <c r="AY10" s="103">
        <v>6517272</v>
      </c>
      <c r="AZ10" s="103">
        <v>20186314</v>
      </c>
      <c r="BA10" s="79">
        <v>-3060856</v>
      </c>
      <c r="BB10" s="79">
        <v>-8142</v>
      </c>
      <c r="BC10" s="102">
        <v>-282704</v>
      </c>
      <c r="BD10" s="102">
        <v>-3351702</v>
      </c>
      <c r="BE10" s="103">
        <v>3165570</v>
      </c>
      <c r="BF10" s="103">
        <v>16834612</v>
      </c>
      <c r="BH10" s="101">
        <f t="shared" si="0"/>
        <v>0.82116748849610421</v>
      </c>
    </row>
    <row r="11" spans="1:60" x14ac:dyDescent="0.2">
      <c r="A11" s="92" t="s">
        <v>420</v>
      </c>
      <c r="B11" s="79" t="s">
        <v>421</v>
      </c>
      <c r="C11" s="92">
        <v>116914</v>
      </c>
      <c r="D11" s="79">
        <v>3979</v>
      </c>
      <c r="E11" s="79">
        <v>710598</v>
      </c>
      <c r="F11" s="79">
        <v>37007</v>
      </c>
      <c r="G11" s="79">
        <v>251987</v>
      </c>
      <c r="H11" s="79">
        <v>505250</v>
      </c>
      <c r="I11" s="79">
        <v>2266</v>
      </c>
      <c r="J11" s="79">
        <v>2975149</v>
      </c>
      <c r="K11" s="79">
        <v>46677</v>
      </c>
      <c r="L11" s="79">
        <v>18957</v>
      </c>
      <c r="M11" s="79">
        <v>47315</v>
      </c>
      <c r="N11" s="79">
        <v>56457</v>
      </c>
      <c r="O11" s="79">
        <v>135750</v>
      </c>
      <c r="P11" s="79">
        <v>340568</v>
      </c>
      <c r="Q11" s="79">
        <v>271408</v>
      </c>
      <c r="R11" s="79">
        <v>264945</v>
      </c>
      <c r="S11" s="79">
        <v>626922</v>
      </c>
      <c r="T11" s="79">
        <v>221842</v>
      </c>
      <c r="U11" s="79">
        <v>2027733</v>
      </c>
      <c r="V11" s="79">
        <v>559833</v>
      </c>
      <c r="W11" s="79">
        <v>821087</v>
      </c>
      <c r="X11" s="79">
        <v>0</v>
      </c>
      <c r="Y11" s="79">
        <v>171914</v>
      </c>
      <c r="Z11" s="79">
        <v>66507</v>
      </c>
      <c r="AA11" s="79">
        <v>485152</v>
      </c>
      <c r="AB11" s="79">
        <v>99178</v>
      </c>
      <c r="AC11" s="79">
        <v>46921</v>
      </c>
      <c r="AD11" s="79">
        <v>155062</v>
      </c>
      <c r="AE11" s="79">
        <v>199499</v>
      </c>
      <c r="AF11" s="79">
        <v>75513</v>
      </c>
      <c r="AG11" s="79">
        <v>165298</v>
      </c>
      <c r="AH11" s="79">
        <v>140992</v>
      </c>
      <c r="AI11" s="79">
        <v>34573</v>
      </c>
      <c r="AJ11" s="79">
        <v>673416</v>
      </c>
      <c r="AK11" s="79">
        <v>150577</v>
      </c>
      <c r="AL11" s="79">
        <v>69204</v>
      </c>
      <c r="AM11" s="102">
        <v>18437</v>
      </c>
      <c r="AN11" s="103">
        <v>12594887</v>
      </c>
      <c r="AO11" s="79">
        <v>25371</v>
      </c>
      <c r="AP11" s="79">
        <v>896993</v>
      </c>
      <c r="AQ11" s="79">
        <v>3896</v>
      </c>
      <c r="AR11" s="79">
        <v>0</v>
      </c>
      <c r="AS11" s="79">
        <v>-680</v>
      </c>
      <c r="AT11" s="102">
        <v>-32157</v>
      </c>
      <c r="AU11" s="103">
        <v>893423</v>
      </c>
      <c r="AV11" s="103">
        <v>13488310</v>
      </c>
      <c r="AW11" s="102">
        <v>2462678</v>
      </c>
      <c r="AX11" s="103">
        <v>2462678</v>
      </c>
      <c r="AY11" s="103">
        <v>3356101</v>
      </c>
      <c r="AZ11" s="103">
        <v>15950988</v>
      </c>
      <c r="BA11" s="79">
        <v>-1752542</v>
      </c>
      <c r="BB11" s="79">
        <v>-55823</v>
      </c>
      <c r="BC11" s="102">
        <v>-144636</v>
      </c>
      <c r="BD11" s="102">
        <v>-1953001</v>
      </c>
      <c r="BE11" s="103">
        <v>1403100</v>
      </c>
      <c r="BF11" s="103">
        <v>13997987</v>
      </c>
      <c r="BH11" s="101">
        <f t="shared" si="0"/>
        <v>0.85520788000868897</v>
      </c>
    </row>
    <row r="12" spans="1:60" x14ac:dyDescent="0.2">
      <c r="A12" s="92" t="s">
        <v>422</v>
      </c>
      <c r="B12" s="79" t="s">
        <v>423</v>
      </c>
      <c r="C12" s="92">
        <v>27301</v>
      </c>
      <c r="D12" s="79">
        <v>428</v>
      </c>
      <c r="E12" s="79">
        <v>107411</v>
      </c>
      <c r="F12" s="79">
        <v>2266</v>
      </c>
      <c r="G12" s="79">
        <v>37495</v>
      </c>
      <c r="H12" s="79">
        <v>182802</v>
      </c>
      <c r="I12" s="79">
        <v>5188</v>
      </c>
      <c r="J12" s="79">
        <v>42147</v>
      </c>
      <c r="K12" s="79">
        <v>514882</v>
      </c>
      <c r="L12" s="79">
        <v>133764</v>
      </c>
      <c r="M12" s="79">
        <v>78595</v>
      </c>
      <c r="N12" s="79">
        <v>41479</v>
      </c>
      <c r="O12" s="79">
        <v>66309</v>
      </c>
      <c r="P12" s="79">
        <v>72702</v>
      </c>
      <c r="Q12" s="79">
        <v>126523</v>
      </c>
      <c r="R12" s="79">
        <v>467995</v>
      </c>
      <c r="S12" s="79">
        <v>143501</v>
      </c>
      <c r="T12" s="79">
        <v>14970</v>
      </c>
      <c r="U12" s="79">
        <v>311974</v>
      </c>
      <c r="V12" s="79">
        <v>45186</v>
      </c>
      <c r="W12" s="79">
        <v>3261761</v>
      </c>
      <c r="X12" s="79">
        <v>1064</v>
      </c>
      <c r="Y12" s="79">
        <v>20268</v>
      </c>
      <c r="Z12" s="79">
        <v>2376</v>
      </c>
      <c r="AA12" s="79">
        <v>19250</v>
      </c>
      <c r="AB12" s="79">
        <v>347</v>
      </c>
      <c r="AC12" s="79">
        <v>5705</v>
      </c>
      <c r="AD12" s="79">
        <v>1598</v>
      </c>
      <c r="AE12" s="79">
        <v>573</v>
      </c>
      <c r="AF12" s="79">
        <v>7070</v>
      </c>
      <c r="AG12" s="79">
        <v>79446</v>
      </c>
      <c r="AH12" s="79">
        <v>55430</v>
      </c>
      <c r="AI12" s="79">
        <v>2038</v>
      </c>
      <c r="AJ12" s="79">
        <v>46879</v>
      </c>
      <c r="AK12" s="79">
        <v>74098</v>
      </c>
      <c r="AL12" s="79">
        <v>7297</v>
      </c>
      <c r="AM12" s="102">
        <v>22072</v>
      </c>
      <c r="AN12" s="103">
        <v>6030190</v>
      </c>
      <c r="AO12" s="79">
        <v>11770</v>
      </c>
      <c r="AP12" s="79">
        <v>135468</v>
      </c>
      <c r="AQ12" s="79">
        <v>0</v>
      </c>
      <c r="AR12" s="79">
        <v>0</v>
      </c>
      <c r="AS12" s="79">
        <v>0</v>
      </c>
      <c r="AT12" s="102">
        <v>-58234</v>
      </c>
      <c r="AU12" s="103">
        <v>89004</v>
      </c>
      <c r="AV12" s="103">
        <v>6119194</v>
      </c>
      <c r="AW12" s="102">
        <v>931599</v>
      </c>
      <c r="AX12" s="103">
        <v>931599</v>
      </c>
      <c r="AY12" s="103">
        <v>1020603</v>
      </c>
      <c r="AZ12" s="103">
        <v>7050793</v>
      </c>
      <c r="BA12" s="79">
        <v>-681272</v>
      </c>
      <c r="BB12" s="79">
        <v>-4222</v>
      </c>
      <c r="BC12" s="102">
        <v>-54681</v>
      </c>
      <c r="BD12" s="102">
        <v>-740175</v>
      </c>
      <c r="BE12" s="103">
        <v>280428</v>
      </c>
      <c r="BF12" s="103">
        <v>6310618</v>
      </c>
      <c r="BH12" s="101">
        <f t="shared" si="0"/>
        <v>0.87904044225432298</v>
      </c>
    </row>
    <row r="13" spans="1:60" x14ac:dyDescent="0.2">
      <c r="A13" s="92" t="s">
        <v>424</v>
      </c>
      <c r="B13" s="79" t="s">
        <v>425</v>
      </c>
      <c r="C13" s="92">
        <v>736</v>
      </c>
      <c r="D13" s="79">
        <v>2271</v>
      </c>
      <c r="E13" s="79">
        <v>0</v>
      </c>
      <c r="F13" s="79">
        <v>552</v>
      </c>
      <c r="G13" s="79">
        <v>115302</v>
      </c>
      <c r="H13" s="79">
        <v>937</v>
      </c>
      <c r="I13" s="79">
        <v>-6</v>
      </c>
      <c r="J13" s="79">
        <v>28135</v>
      </c>
      <c r="K13" s="79">
        <v>49924</v>
      </c>
      <c r="L13" s="79">
        <v>14269268</v>
      </c>
      <c r="M13" s="79">
        <v>10401</v>
      </c>
      <c r="N13" s="79">
        <v>2650451</v>
      </c>
      <c r="O13" s="79">
        <v>1191982</v>
      </c>
      <c r="P13" s="79">
        <v>1532422</v>
      </c>
      <c r="Q13" s="79">
        <v>154124</v>
      </c>
      <c r="R13" s="79">
        <v>76334</v>
      </c>
      <c r="S13" s="79">
        <v>713682</v>
      </c>
      <c r="T13" s="79">
        <v>48754</v>
      </c>
      <c r="U13" s="79">
        <v>2928437</v>
      </c>
      <c r="V13" s="79">
        <v>32453</v>
      </c>
      <c r="W13" s="79">
        <v>1419668</v>
      </c>
      <c r="X13" s="79">
        <v>0</v>
      </c>
      <c r="Y13" s="79">
        <v>116</v>
      </c>
      <c r="Z13" s="79">
        <v>0</v>
      </c>
      <c r="AA13" s="79">
        <v>0</v>
      </c>
      <c r="AB13" s="79">
        <v>0</v>
      </c>
      <c r="AC13" s="79">
        <v>0</v>
      </c>
      <c r="AD13" s="79">
        <v>13584</v>
      </c>
      <c r="AE13" s="79">
        <v>0</v>
      </c>
      <c r="AF13" s="79">
        <v>1370</v>
      </c>
      <c r="AG13" s="79">
        <v>0</v>
      </c>
      <c r="AH13" s="79">
        <v>182</v>
      </c>
      <c r="AI13" s="79">
        <v>20</v>
      </c>
      <c r="AJ13" s="79">
        <v>8154</v>
      </c>
      <c r="AK13" s="79">
        <v>1418</v>
      </c>
      <c r="AL13" s="79">
        <v>34</v>
      </c>
      <c r="AM13" s="102">
        <v>23064</v>
      </c>
      <c r="AN13" s="103">
        <v>25273769</v>
      </c>
      <c r="AO13" s="79">
        <v>0</v>
      </c>
      <c r="AP13" s="79">
        <v>-34590</v>
      </c>
      <c r="AQ13" s="79">
        <v>0</v>
      </c>
      <c r="AR13" s="79">
        <v>-28047</v>
      </c>
      <c r="AS13" s="79">
        <v>-168467</v>
      </c>
      <c r="AT13" s="102">
        <v>-239348</v>
      </c>
      <c r="AU13" s="103">
        <v>-470452</v>
      </c>
      <c r="AV13" s="103">
        <v>24803317</v>
      </c>
      <c r="AW13" s="102">
        <v>3584574</v>
      </c>
      <c r="AX13" s="103">
        <v>3584574</v>
      </c>
      <c r="AY13" s="103">
        <v>3114122</v>
      </c>
      <c r="AZ13" s="103">
        <v>28387891</v>
      </c>
      <c r="BA13" s="79">
        <v>-965443</v>
      </c>
      <c r="BB13" s="79">
        <v>-2306</v>
      </c>
      <c r="BC13" s="102">
        <v>-77420</v>
      </c>
      <c r="BD13" s="102">
        <v>-1045169</v>
      </c>
      <c r="BE13" s="103">
        <v>2068953</v>
      </c>
      <c r="BF13" s="103">
        <v>27342722</v>
      </c>
      <c r="BH13" s="101">
        <f t="shared" si="0"/>
        <v>0.95786172470399822</v>
      </c>
    </row>
    <row r="14" spans="1:60" x14ac:dyDescent="0.2">
      <c r="A14" s="92" t="s">
        <v>426</v>
      </c>
      <c r="B14" s="79" t="s">
        <v>427</v>
      </c>
      <c r="C14" s="92">
        <v>0</v>
      </c>
      <c r="D14" s="79">
        <v>583</v>
      </c>
      <c r="E14" s="79">
        <v>55438</v>
      </c>
      <c r="F14" s="79">
        <v>29</v>
      </c>
      <c r="G14" s="79">
        <v>30256</v>
      </c>
      <c r="H14" s="79">
        <v>137635</v>
      </c>
      <c r="I14" s="79">
        <v>195</v>
      </c>
      <c r="J14" s="79">
        <v>33047</v>
      </c>
      <c r="K14" s="79">
        <v>61138</v>
      </c>
      <c r="L14" s="79">
        <v>231086</v>
      </c>
      <c r="M14" s="79">
        <v>3558866</v>
      </c>
      <c r="N14" s="79">
        <v>767413</v>
      </c>
      <c r="O14" s="79">
        <v>390861</v>
      </c>
      <c r="P14" s="79">
        <v>323587</v>
      </c>
      <c r="Q14" s="79">
        <v>253413</v>
      </c>
      <c r="R14" s="79">
        <v>618975</v>
      </c>
      <c r="S14" s="79">
        <v>1037756</v>
      </c>
      <c r="T14" s="79">
        <v>221796</v>
      </c>
      <c r="U14" s="79">
        <v>1319620</v>
      </c>
      <c r="V14" s="79">
        <v>123585</v>
      </c>
      <c r="W14" s="79">
        <v>547265</v>
      </c>
      <c r="X14" s="79">
        <v>6614</v>
      </c>
      <c r="Y14" s="79">
        <v>1162</v>
      </c>
      <c r="Z14" s="79">
        <v>18</v>
      </c>
      <c r="AA14" s="79">
        <v>1263</v>
      </c>
      <c r="AB14" s="79">
        <v>0</v>
      </c>
      <c r="AC14" s="79">
        <v>0</v>
      </c>
      <c r="AD14" s="79">
        <v>726</v>
      </c>
      <c r="AE14" s="79">
        <v>3490</v>
      </c>
      <c r="AF14" s="79">
        <v>8086</v>
      </c>
      <c r="AG14" s="79">
        <v>4004</v>
      </c>
      <c r="AH14" s="79">
        <v>83667</v>
      </c>
      <c r="AI14" s="79">
        <v>971</v>
      </c>
      <c r="AJ14" s="79">
        <v>25817</v>
      </c>
      <c r="AK14" s="79">
        <v>18452</v>
      </c>
      <c r="AL14" s="79">
        <v>1379</v>
      </c>
      <c r="AM14" s="102">
        <v>17865</v>
      </c>
      <c r="AN14" s="103">
        <v>9886058</v>
      </c>
      <c r="AO14" s="79">
        <v>1312</v>
      </c>
      <c r="AP14" s="79">
        <v>168957</v>
      </c>
      <c r="AQ14" s="79">
        <v>0</v>
      </c>
      <c r="AR14" s="79">
        <v>0</v>
      </c>
      <c r="AS14" s="79">
        <v>131392</v>
      </c>
      <c r="AT14" s="102">
        <v>-121419</v>
      </c>
      <c r="AU14" s="103">
        <v>180242</v>
      </c>
      <c r="AV14" s="103">
        <v>10066300</v>
      </c>
      <c r="AW14" s="102">
        <v>2394061</v>
      </c>
      <c r="AX14" s="103">
        <v>2394061</v>
      </c>
      <c r="AY14" s="103">
        <v>2574303</v>
      </c>
      <c r="AZ14" s="103">
        <v>12460361</v>
      </c>
      <c r="BA14" s="79">
        <v>-3375060</v>
      </c>
      <c r="BB14" s="79">
        <v>-8021</v>
      </c>
      <c r="BC14" s="102">
        <v>-270645</v>
      </c>
      <c r="BD14" s="102">
        <v>-3653726</v>
      </c>
      <c r="BE14" s="103">
        <v>-1079423</v>
      </c>
      <c r="BF14" s="103">
        <v>8806635</v>
      </c>
      <c r="BH14" s="101">
        <f t="shared" si="0"/>
        <v>0.6370338654719212</v>
      </c>
    </row>
    <row r="15" spans="1:60" x14ac:dyDescent="0.2">
      <c r="A15" s="92" t="s">
        <v>428</v>
      </c>
      <c r="B15" s="79" t="s">
        <v>429</v>
      </c>
      <c r="C15" s="92">
        <v>16740</v>
      </c>
      <c r="D15" s="79">
        <v>17304</v>
      </c>
      <c r="E15" s="79">
        <v>464540</v>
      </c>
      <c r="F15" s="79">
        <v>8618</v>
      </c>
      <c r="G15" s="79">
        <v>145927</v>
      </c>
      <c r="H15" s="79">
        <v>245030</v>
      </c>
      <c r="I15" s="79">
        <v>8050</v>
      </c>
      <c r="J15" s="79">
        <v>95927</v>
      </c>
      <c r="K15" s="79">
        <v>65492</v>
      </c>
      <c r="L15" s="79">
        <v>23273</v>
      </c>
      <c r="M15" s="79">
        <v>14901</v>
      </c>
      <c r="N15" s="79">
        <v>825081</v>
      </c>
      <c r="O15" s="79">
        <v>371802</v>
      </c>
      <c r="P15" s="79">
        <v>540646</v>
      </c>
      <c r="Q15" s="79">
        <v>268124</v>
      </c>
      <c r="R15" s="79">
        <v>277319</v>
      </c>
      <c r="S15" s="79">
        <v>437632</v>
      </c>
      <c r="T15" s="79">
        <v>146235</v>
      </c>
      <c r="U15" s="79">
        <v>549357</v>
      </c>
      <c r="V15" s="79">
        <v>111914</v>
      </c>
      <c r="W15" s="79">
        <v>5832272</v>
      </c>
      <c r="X15" s="79">
        <v>11842</v>
      </c>
      <c r="Y15" s="79">
        <v>3626</v>
      </c>
      <c r="Z15" s="79">
        <v>745</v>
      </c>
      <c r="AA15" s="79">
        <v>276780</v>
      </c>
      <c r="AB15" s="79">
        <v>4061</v>
      </c>
      <c r="AC15" s="79">
        <v>25350</v>
      </c>
      <c r="AD15" s="79">
        <v>70277</v>
      </c>
      <c r="AE15" s="79">
        <v>18654</v>
      </c>
      <c r="AF15" s="79">
        <v>175714</v>
      </c>
      <c r="AG15" s="79">
        <v>7818</v>
      </c>
      <c r="AH15" s="79">
        <v>22760</v>
      </c>
      <c r="AI15" s="79">
        <v>10773</v>
      </c>
      <c r="AJ15" s="79">
        <v>76055</v>
      </c>
      <c r="AK15" s="79">
        <v>133078</v>
      </c>
      <c r="AL15" s="79">
        <v>542</v>
      </c>
      <c r="AM15" s="102">
        <v>27296</v>
      </c>
      <c r="AN15" s="103">
        <v>11331555</v>
      </c>
      <c r="AO15" s="79">
        <v>30178</v>
      </c>
      <c r="AP15" s="79">
        <v>279415</v>
      </c>
      <c r="AQ15" s="79">
        <v>638</v>
      </c>
      <c r="AR15" s="79">
        <v>18447</v>
      </c>
      <c r="AS15" s="79">
        <v>446004</v>
      </c>
      <c r="AT15" s="102">
        <v>12004</v>
      </c>
      <c r="AU15" s="103">
        <v>786686</v>
      </c>
      <c r="AV15" s="103">
        <v>12118241</v>
      </c>
      <c r="AW15" s="102">
        <v>863564</v>
      </c>
      <c r="AX15" s="103">
        <v>863564</v>
      </c>
      <c r="AY15" s="103">
        <v>1650250</v>
      </c>
      <c r="AZ15" s="103">
        <v>12981805</v>
      </c>
      <c r="BA15" s="79">
        <v>-1145426</v>
      </c>
      <c r="BB15" s="79">
        <v>-7377</v>
      </c>
      <c r="BC15" s="102">
        <v>-92053</v>
      </c>
      <c r="BD15" s="102">
        <v>-1244856</v>
      </c>
      <c r="BE15" s="103">
        <v>405394</v>
      </c>
      <c r="BF15" s="103">
        <v>11736949</v>
      </c>
      <c r="BH15" s="101">
        <f t="shared" si="0"/>
        <v>0.89727420010874515</v>
      </c>
    </row>
    <row r="16" spans="1:60" x14ac:dyDescent="0.2">
      <c r="A16" s="92" t="s">
        <v>430</v>
      </c>
      <c r="B16" s="79" t="s">
        <v>431</v>
      </c>
      <c r="C16" s="92">
        <v>24</v>
      </c>
      <c r="D16" s="79">
        <v>1870</v>
      </c>
      <c r="E16" s="79">
        <v>0</v>
      </c>
      <c r="F16" s="79">
        <v>0</v>
      </c>
      <c r="G16" s="79">
        <v>13330</v>
      </c>
      <c r="H16" s="79">
        <v>590</v>
      </c>
      <c r="I16" s="79">
        <v>0</v>
      </c>
      <c r="J16" s="79">
        <v>5306</v>
      </c>
      <c r="K16" s="79">
        <v>13246</v>
      </c>
      <c r="L16" s="79">
        <v>3266</v>
      </c>
      <c r="M16" s="79">
        <v>134</v>
      </c>
      <c r="N16" s="79">
        <v>12160</v>
      </c>
      <c r="O16" s="79">
        <v>1635494</v>
      </c>
      <c r="P16" s="79">
        <v>658076</v>
      </c>
      <c r="Q16" s="79">
        <v>102974</v>
      </c>
      <c r="R16" s="79">
        <v>29828</v>
      </c>
      <c r="S16" s="79">
        <v>212170</v>
      </c>
      <c r="T16" s="79">
        <v>11896</v>
      </c>
      <c r="U16" s="79">
        <v>430470</v>
      </c>
      <c r="V16" s="79">
        <v>5097</v>
      </c>
      <c r="W16" s="79">
        <v>391387</v>
      </c>
      <c r="X16" s="79">
        <v>0</v>
      </c>
      <c r="Y16" s="79">
        <v>46838</v>
      </c>
      <c r="Z16" s="79">
        <v>0</v>
      </c>
      <c r="AA16" s="79">
        <v>406</v>
      </c>
      <c r="AB16" s="79">
        <v>1</v>
      </c>
      <c r="AC16" s="79">
        <v>0</v>
      </c>
      <c r="AD16" s="79">
        <v>4757</v>
      </c>
      <c r="AE16" s="79">
        <v>286</v>
      </c>
      <c r="AF16" s="79">
        <v>13236</v>
      </c>
      <c r="AG16" s="79">
        <v>0</v>
      </c>
      <c r="AH16" s="79">
        <v>10</v>
      </c>
      <c r="AI16" s="79">
        <v>0</v>
      </c>
      <c r="AJ16" s="79">
        <v>494807</v>
      </c>
      <c r="AK16" s="79">
        <v>386</v>
      </c>
      <c r="AL16" s="79">
        <v>0</v>
      </c>
      <c r="AM16" s="102">
        <v>0</v>
      </c>
      <c r="AN16" s="103">
        <v>4088045</v>
      </c>
      <c r="AO16" s="79">
        <v>0</v>
      </c>
      <c r="AP16" s="79">
        <v>13291</v>
      </c>
      <c r="AQ16" s="79">
        <v>0</v>
      </c>
      <c r="AR16" s="79">
        <v>157066</v>
      </c>
      <c r="AS16" s="79">
        <v>4278071</v>
      </c>
      <c r="AT16" s="102">
        <v>88467</v>
      </c>
      <c r="AU16" s="103">
        <v>4536895</v>
      </c>
      <c r="AV16" s="103">
        <v>8624940</v>
      </c>
      <c r="AW16" s="102">
        <v>3372310</v>
      </c>
      <c r="AX16" s="103">
        <v>3372310</v>
      </c>
      <c r="AY16" s="103">
        <v>7909205</v>
      </c>
      <c r="AZ16" s="103">
        <v>11997250</v>
      </c>
      <c r="BA16" s="79">
        <v>-1424716</v>
      </c>
      <c r="BB16" s="79">
        <v>0</v>
      </c>
      <c r="BC16" s="102">
        <v>-113976</v>
      </c>
      <c r="BD16" s="102">
        <v>-1538692</v>
      </c>
      <c r="BE16" s="103">
        <v>6370513</v>
      </c>
      <c r="BF16" s="103">
        <v>10458558</v>
      </c>
      <c r="BH16" s="101">
        <f t="shared" si="0"/>
        <v>0.82159968649057269</v>
      </c>
    </row>
    <row r="17" spans="1:60" x14ac:dyDescent="0.2">
      <c r="A17" s="92" t="s">
        <v>432</v>
      </c>
      <c r="B17" s="79" t="s">
        <v>433</v>
      </c>
      <c r="C17" s="92">
        <v>122</v>
      </c>
      <c r="D17" s="79">
        <v>1763</v>
      </c>
      <c r="E17" s="79">
        <v>0</v>
      </c>
      <c r="F17" s="79">
        <v>0</v>
      </c>
      <c r="G17" s="79">
        <v>1163</v>
      </c>
      <c r="H17" s="79">
        <v>0</v>
      </c>
      <c r="I17" s="79">
        <v>237</v>
      </c>
      <c r="J17" s="79">
        <v>35359</v>
      </c>
      <c r="K17" s="79">
        <v>8463</v>
      </c>
      <c r="L17" s="79">
        <v>3812</v>
      </c>
      <c r="M17" s="79">
        <v>1124</v>
      </c>
      <c r="N17" s="79">
        <v>5767</v>
      </c>
      <c r="O17" s="79">
        <v>50593</v>
      </c>
      <c r="P17" s="79">
        <v>2447173</v>
      </c>
      <c r="Q17" s="79">
        <v>13040</v>
      </c>
      <c r="R17" s="79">
        <v>40661</v>
      </c>
      <c r="S17" s="79">
        <v>37647</v>
      </c>
      <c r="T17" s="79">
        <v>4937</v>
      </c>
      <c r="U17" s="79">
        <v>49596</v>
      </c>
      <c r="V17" s="79">
        <v>1213</v>
      </c>
      <c r="W17" s="79">
        <v>4279</v>
      </c>
      <c r="X17" s="79">
        <v>133</v>
      </c>
      <c r="Y17" s="79">
        <v>1126</v>
      </c>
      <c r="Z17" s="79">
        <v>0</v>
      </c>
      <c r="AA17" s="79">
        <v>318</v>
      </c>
      <c r="AB17" s="79">
        <v>0</v>
      </c>
      <c r="AC17" s="79">
        <v>0</v>
      </c>
      <c r="AD17" s="79">
        <v>2442</v>
      </c>
      <c r="AE17" s="79">
        <v>145</v>
      </c>
      <c r="AF17" s="79">
        <v>645</v>
      </c>
      <c r="AG17" s="79">
        <v>0</v>
      </c>
      <c r="AH17" s="79">
        <v>0</v>
      </c>
      <c r="AI17" s="79">
        <v>0</v>
      </c>
      <c r="AJ17" s="79">
        <v>726972</v>
      </c>
      <c r="AK17" s="79">
        <v>459</v>
      </c>
      <c r="AL17" s="79">
        <v>0</v>
      </c>
      <c r="AM17" s="102">
        <v>0</v>
      </c>
      <c r="AN17" s="103">
        <v>3439189</v>
      </c>
      <c r="AO17" s="79">
        <v>0</v>
      </c>
      <c r="AP17" s="79">
        <v>7805</v>
      </c>
      <c r="AQ17" s="79">
        <v>0</v>
      </c>
      <c r="AR17" s="79">
        <v>99585</v>
      </c>
      <c r="AS17" s="79">
        <v>8574450</v>
      </c>
      <c r="AT17" s="102">
        <v>164159</v>
      </c>
      <c r="AU17" s="103">
        <v>8845999</v>
      </c>
      <c r="AV17" s="103">
        <v>12285188</v>
      </c>
      <c r="AW17" s="102">
        <v>6445904</v>
      </c>
      <c r="AX17" s="103">
        <v>6445904</v>
      </c>
      <c r="AY17" s="103">
        <v>15291903</v>
      </c>
      <c r="AZ17" s="103">
        <v>18731092</v>
      </c>
      <c r="BA17" s="79">
        <v>-1876084</v>
      </c>
      <c r="BB17" s="79">
        <v>0</v>
      </c>
      <c r="BC17" s="102">
        <v>-150085</v>
      </c>
      <c r="BD17" s="102">
        <v>-2026169</v>
      </c>
      <c r="BE17" s="103">
        <v>13265734</v>
      </c>
      <c r="BF17" s="103">
        <v>16704923</v>
      </c>
      <c r="BH17" s="101">
        <f t="shared" si="0"/>
        <v>0.83507220239527469</v>
      </c>
    </row>
    <row r="18" spans="1:60" x14ac:dyDescent="0.2">
      <c r="A18" s="92" t="s">
        <v>434</v>
      </c>
      <c r="B18" s="79" t="s">
        <v>435</v>
      </c>
      <c r="C18" s="92">
        <v>4119</v>
      </c>
      <c r="D18" s="79">
        <v>0</v>
      </c>
      <c r="E18" s="79">
        <v>9</v>
      </c>
      <c r="F18" s="79">
        <v>0</v>
      </c>
      <c r="G18" s="79">
        <v>0</v>
      </c>
      <c r="H18" s="79">
        <v>21</v>
      </c>
      <c r="I18" s="79">
        <v>0</v>
      </c>
      <c r="J18" s="79">
        <v>0</v>
      </c>
      <c r="K18" s="79">
        <v>0</v>
      </c>
      <c r="L18" s="79">
        <v>0</v>
      </c>
      <c r="M18" s="79">
        <v>0</v>
      </c>
      <c r="N18" s="79">
        <v>216</v>
      </c>
      <c r="O18" s="79">
        <v>27536</v>
      </c>
      <c r="P18" s="79">
        <v>93173</v>
      </c>
      <c r="Q18" s="79">
        <v>588055</v>
      </c>
      <c r="R18" s="79">
        <v>1610</v>
      </c>
      <c r="S18" s="79">
        <v>14914</v>
      </c>
      <c r="T18" s="79">
        <v>6849</v>
      </c>
      <c r="U18" s="79">
        <v>21221</v>
      </c>
      <c r="V18" s="79">
        <v>1724</v>
      </c>
      <c r="W18" s="79">
        <v>11956</v>
      </c>
      <c r="X18" s="79">
        <v>0</v>
      </c>
      <c r="Y18" s="79">
        <v>444</v>
      </c>
      <c r="Z18" s="79">
        <v>136</v>
      </c>
      <c r="AA18" s="79">
        <v>104030</v>
      </c>
      <c r="AB18" s="79">
        <v>413</v>
      </c>
      <c r="AC18" s="79">
        <v>0</v>
      </c>
      <c r="AD18" s="79">
        <v>1484</v>
      </c>
      <c r="AE18" s="79">
        <v>9820</v>
      </c>
      <c r="AF18" s="79">
        <v>127453</v>
      </c>
      <c r="AG18" s="79">
        <v>0</v>
      </c>
      <c r="AH18" s="79">
        <v>703825</v>
      </c>
      <c r="AI18" s="79">
        <v>0</v>
      </c>
      <c r="AJ18" s="79">
        <v>267422</v>
      </c>
      <c r="AK18" s="79">
        <v>37045</v>
      </c>
      <c r="AL18" s="79">
        <v>36162</v>
      </c>
      <c r="AM18" s="102">
        <v>0</v>
      </c>
      <c r="AN18" s="103">
        <v>2059637</v>
      </c>
      <c r="AO18" s="79">
        <v>2339</v>
      </c>
      <c r="AP18" s="79">
        <v>101116</v>
      </c>
      <c r="AQ18" s="79">
        <v>202</v>
      </c>
      <c r="AR18" s="79">
        <v>444862</v>
      </c>
      <c r="AS18" s="79">
        <v>4303373</v>
      </c>
      <c r="AT18" s="102">
        <v>73505</v>
      </c>
      <c r="AU18" s="103">
        <v>4925397</v>
      </c>
      <c r="AV18" s="103">
        <v>6985034</v>
      </c>
      <c r="AW18" s="102">
        <v>2027360</v>
      </c>
      <c r="AX18" s="103">
        <v>2027360</v>
      </c>
      <c r="AY18" s="103">
        <v>6952757</v>
      </c>
      <c r="AZ18" s="103">
        <v>9012394</v>
      </c>
      <c r="BA18" s="79">
        <v>-1952156</v>
      </c>
      <c r="BB18" s="79">
        <v>-747</v>
      </c>
      <c r="BC18" s="102">
        <v>-156191</v>
      </c>
      <c r="BD18" s="102">
        <v>-2109094</v>
      </c>
      <c r="BE18" s="103">
        <v>4843663</v>
      </c>
      <c r="BF18" s="103">
        <v>6903300</v>
      </c>
      <c r="BH18" s="101">
        <f t="shared" si="0"/>
        <v>0.69805529937291644</v>
      </c>
    </row>
    <row r="19" spans="1:60" x14ac:dyDescent="0.2">
      <c r="A19" s="92" t="s">
        <v>436</v>
      </c>
      <c r="B19" s="79" t="s">
        <v>437</v>
      </c>
      <c r="C19" s="92">
        <v>12</v>
      </c>
      <c r="D19" s="79">
        <v>21</v>
      </c>
      <c r="E19" s="79">
        <v>69</v>
      </c>
      <c r="F19" s="79">
        <v>3</v>
      </c>
      <c r="G19" s="79">
        <v>123</v>
      </c>
      <c r="H19" s="79">
        <v>147</v>
      </c>
      <c r="I19" s="79">
        <v>10</v>
      </c>
      <c r="J19" s="79">
        <v>7</v>
      </c>
      <c r="K19" s="79">
        <v>2</v>
      </c>
      <c r="L19" s="79">
        <v>30</v>
      </c>
      <c r="M19" s="79">
        <v>1197</v>
      </c>
      <c r="N19" s="79">
        <v>31132</v>
      </c>
      <c r="O19" s="79">
        <v>78312</v>
      </c>
      <c r="P19" s="79">
        <v>158528</v>
      </c>
      <c r="Q19" s="79">
        <v>933046</v>
      </c>
      <c r="R19" s="79">
        <v>3758946</v>
      </c>
      <c r="S19" s="79">
        <v>2334628</v>
      </c>
      <c r="T19" s="79">
        <v>1705223</v>
      </c>
      <c r="U19" s="79">
        <v>592700</v>
      </c>
      <c r="V19" s="79">
        <v>69972</v>
      </c>
      <c r="W19" s="79">
        <v>18936</v>
      </c>
      <c r="X19" s="79">
        <v>132</v>
      </c>
      <c r="Y19" s="79">
        <v>95</v>
      </c>
      <c r="Z19" s="79">
        <v>0</v>
      </c>
      <c r="AA19" s="79">
        <v>2340</v>
      </c>
      <c r="AB19" s="79">
        <v>1583</v>
      </c>
      <c r="AC19" s="79">
        <v>0</v>
      </c>
      <c r="AD19" s="79">
        <v>304</v>
      </c>
      <c r="AE19" s="79">
        <v>69276</v>
      </c>
      <c r="AF19" s="79">
        <v>88065</v>
      </c>
      <c r="AG19" s="79">
        <v>64918</v>
      </c>
      <c r="AH19" s="79">
        <v>286</v>
      </c>
      <c r="AI19" s="79">
        <v>0</v>
      </c>
      <c r="AJ19" s="79">
        <v>735625</v>
      </c>
      <c r="AK19" s="79">
        <v>676</v>
      </c>
      <c r="AL19" s="79">
        <v>52660</v>
      </c>
      <c r="AM19" s="102">
        <v>0</v>
      </c>
      <c r="AN19" s="103">
        <v>10699004</v>
      </c>
      <c r="AO19" s="79">
        <v>540</v>
      </c>
      <c r="AP19" s="79">
        <v>156676</v>
      </c>
      <c r="AQ19" s="79">
        <v>0</v>
      </c>
      <c r="AR19" s="79">
        <v>0</v>
      </c>
      <c r="AS19" s="79">
        <v>0</v>
      </c>
      <c r="AT19" s="102">
        <v>91428</v>
      </c>
      <c r="AU19" s="103">
        <v>248644</v>
      </c>
      <c r="AV19" s="103">
        <v>10947648</v>
      </c>
      <c r="AW19" s="102">
        <v>6762588</v>
      </c>
      <c r="AX19" s="103">
        <v>6762588</v>
      </c>
      <c r="AY19" s="103">
        <v>7011232</v>
      </c>
      <c r="AZ19" s="103">
        <v>17710236</v>
      </c>
      <c r="BA19" s="79">
        <v>-3864965</v>
      </c>
      <c r="BB19" s="79">
        <v>0</v>
      </c>
      <c r="BC19" s="102">
        <v>-309187</v>
      </c>
      <c r="BD19" s="102">
        <v>-4174152</v>
      </c>
      <c r="BE19" s="103">
        <v>2837080</v>
      </c>
      <c r="BF19" s="103">
        <v>13536084</v>
      </c>
      <c r="BH19" s="101">
        <f t="shared" si="0"/>
        <v>0.61871700661183116</v>
      </c>
    </row>
    <row r="20" spans="1:60" x14ac:dyDescent="0.2">
      <c r="A20" s="92" t="s">
        <v>438</v>
      </c>
      <c r="B20" s="79" t="s">
        <v>439</v>
      </c>
      <c r="C20" s="92">
        <v>2869</v>
      </c>
      <c r="D20" s="79">
        <v>292</v>
      </c>
      <c r="E20" s="79">
        <v>15</v>
      </c>
      <c r="F20" s="79">
        <v>0</v>
      </c>
      <c r="G20" s="79">
        <v>1716</v>
      </c>
      <c r="H20" s="79">
        <v>81</v>
      </c>
      <c r="I20" s="79">
        <v>0</v>
      </c>
      <c r="J20" s="79">
        <v>303</v>
      </c>
      <c r="K20" s="79">
        <v>265</v>
      </c>
      <c r="L20" s="79">
        <v>0</v>
      </c>
      <c r="M20" s="79">
        <v>193</v>
      </c>
      <c r="N20" s="79">
        <v>9504</v>
      </c>
      <c r="O20" s="79">
        <v>243985</v>
      </c>
      <c r="P20" s="79">
        <v>380192</v>
      </c>
      <c r="Q20" s="79">
        <v>132675</v>
      </c>
      <c r="R20" s="79">
        <v>274971</v>
      </c>
      <c r="S20" s="79">
        <v>1849593</v>
      </c>
      <c r="T20" s="79">
        <v>102344</v>
      </c>
      <c r="U20" s="79">
        <v>1749866</v>
      </c>
      <c r="V20" s="79">
        <v>12924</v>
      </c>
      <c r="W20" s="79">
        <v>485332</v>
      </c>
      <c r="X20" s="79">
        <v>77</v>
      </c>
      <c r="Y20" s="79">
        <v>836</v>
      </c>
      <c r="Z20" s="79">
        <v>0</v>
      </c>
      <c r="AA20" s="79">
        <v>20747</v>
      </c>
      <c r="AB20" s="79">
        <v>89</v>
      </c>
      <c r="AC20" s="79">
        <v>990</v>
      </c>
      <c r="AD20" s="79">
        <v>11180</v>
      </c>
      <c r="AE20" s="79">
        <v>11959</v>
      </c>
      <c r="AF20" s="79">
        <v>73193</v>
      </c>
      <c r="AG20" s="79">
        <v>20260</v>
      </c>
      <c r="AH20" s="79">
        <v>4891</v>
      </c>
      <c r="AI20" s="79">
        <v>0</v>
      </c>
      <c r="AJ20" s="79">
        <v>423795</v>
      </c>
      <c r="AK20" s="79">
        <v>9629</v>
      </c>
      <c r="AL20" s="79">
        <v>0</v>
      </c>
      <c r="AM20" s="102">
        <v>5435</v>
      </c>
      <c r="AN20" s="103">
        <v>5830201</v>
      </c>
      <c r="AO20" s="79">
        <v>66248</v>
      </c>
      <c r="AP20" s="79">
        <v>3137046</v>
      </c>
      <c r="AQ20" s="79">
        <v>0</v>
      </c>
      <c r="AR20" s="79">
        <v>300267</v>
      </c>
      <c r="AS20" s="79">
        <v>5231031</v>
      </c>
      <c r="AT20" s="102">
        <v>47057</v>
      </c>
      <c r="AU20" s="103">
        <v>8781649</v>
      </c>
      <c r="AV20" s="103">
        <v>14611850</v>
      </c>
      <c r="AW20" s="102">
        <v>6173899</v>
      </c>
      <c r="AX20" s="103">
        <v>6173899</v>
      </c>
      <c r="AY20" s="103">
        <v>14955548</v>
      </c>
      <c r="AZ20" s="103">
        <v>20785749</v>
      </c>
      <c r="BA20" s="79">
        <v>-4373272</v>
      </c>
      <c r="BB20" s="79">
        <v>-134</v>
      </c>
      <c r="BC20" s="102">
        <v>-349633</v>
      </c>
      <c r="BD20" s="102">
        <v>-4723039</v>
      </c>
      <c r="BE20" s="103">
        <v>10232509</v>
      </c>
      <c r="BF20" s="103">
        <v>16062710</v>
      </c>
      <c r="BH20" s="101">
        <f t="shared" si="0"/>
        <v>0.67676652853676988</v>
      </c>
    </row>
    <row r="21" spans="1:60" x14ac:dyDescent="0.2">
      <c r="A21" s="92" t="s">
        <v>440</v>
      </c>
      <c r="B21" s="79" t="s">
        <v>441</v>
      </c>
      <c r="C21" s="92">
        <v>194</v>
      </c>
      <c r="D21" s="79">
        <v>11</v>
      </c>
      <c r="E21" s="79">
        <v>718</v>
      </c>
      <c r="F21" s="79">
        <v>27</v>
      </c>
      <c r="G21" s="79">
        <v>78</v>
      </c>
      <c r="H21" s="79">
        <v>919</v>
      </c>
      <c r="I21" s="79">
        <v>50</v>
      </c>
      <c r="J21" s="79">
        <v>127</v>
      </c>
      <c r="K21" s="79">
        <v>82</v>
      </c>
      <c r="L21" s="79">
        <v>23</v>
      </c>
      <c r="M21" s="79">
        <v>27</v>
      </c>
      <c r="N21" s="79">
        <v>621</v>
      </c>
      <c r="O21" s="79">
        <v>7892</v>
      </c>
      <c r="P21" s="79">
        <v>4027</v>
      </c>
      <c r="Q21" s="79">
        <v>230</v>
      </c>
      <c r="R21" s="79">
        <v>805</v>
      </c>
      <c r="S21" s="79">
        <v>740</v>
      </c>
      <c r="T21" s="79">
        <v>141774</v>
      </c>
      <c r="U21" s="79">
        <v>346048</v>
      </c>
      <c r="V21" s="79">
        <v>390</v>
      </c>
      <c r="W21" s="79">
        <v>102767</v>
      </c>
      <c r="X21" s="79">
        <v>366</v>
      </c>
      <c r="Y21" s="79">
        <v>52</v>
      </c>
      <c r="Z21" s="79">
        <v>102</v>
      </c>
      <c r="AA21" s="79">
        <v>29671</v>
      </c>
      <c r="AB21" s="79">
        <v>5229</v>
      </c>
      <c r="AC21" s="79">
        <v>5394</v>
      </c>
      <c r="AD21" s="79">
        <v>5830</v>
      </c>
      <c r="AE21" s="79">
        <v>12096</v>
      </c>
      <c r="AF21" s="79">
        <v>66902</v>
      </c>
      <c r="AG21" s="79">
        <v>5301</v>
      </c>
      <c r="AH21" s="79">
        <v>1789</v>
      </c>
      <c r="AI21" s="79">
        <v>336</v>
      </c>
      <c r="AJ21" s="79">
        <v>102648</v>
      </c>
      <c r="AK21" s="79">
        <v>7965</v>
      </c>
      <c r="AL21" s="79">
        <v>0</v>
      </c>
      <c r="AM21" s="102">
        <v>0</v>
      </c>
      <c r="AN21" s="103">
        <v>851231</v>
      </c>
      <c r="AO21" s="79">
        <v>37306</v>
      </c>
      <c r="AP21" s="79">
        <v>3450635</v>
      </c>
      <c r="AQ21" s="79">
        <v>0</v>
      </c>
      <c r="AR21" s="79">
        <v>1002831</v>
      </c>
      <c r="AS21" s="79">
        <v>4884831</v>
      </c>
      <c r="AT21" s="102">
        <v>9691</v>
      </c>
      <c r="AU21" s="103">
        <v>9385294</v>
      </c>
      <c r="AV21" s="103">
        <v>10236525</v>
      </c>
      <c r="AW21" s="102">
        <v>1632379</v>
      </c>
      <c r="AX21" s="103">
        <v>1632379</v>
      </c>
      <c r="AY21" s="103">
        <v>11017673</v>
      </c>
      <c r="AZ21" s="103">
        <v>11868904</v>
      </c>
      <c r="BA21" s="79">
        <v>-5938214</v>
      </c>
      <c r="BB21" s="79">
        <v>0</v>
      </c>
      <c r="BC21" s="102">
        <v>-474230</v>
      </c>
      <c r="BD21" s="102">
        <v>-6412444</v>
      </c>
      <c r="BE21" s="103">
        <v>4605229</v>
      </c>
      <c r="BF21" s="103">
        <v>5456460</v>
      </c>
      <c r="BH21" s="101">
        <f t="shared" si="0"/>
        <v>0.37357218391983604</v>
      </c>
    </row>
    <row r="22" spans="1:60" x14ac:dyDescent="0.2">
      <c r="A22" s="92" t="s">
        <v>442</v>
      </c>
      <c r="B22" s="79" t="s">
        <v>443</v>
      </c>
      <c r="C22" s="92">
        <v>72155</v>
      </c>
      <c r="D22" s="79">
        <v>31</v>
      </c>
      <c r="E22" s="79">
        <v>0</v>
      </c>
      <c r="F22" s="79">
        <v>0</v>
      </c>
      <c r="G22" s="79">
        <v>0</v>
      </c>
      <c r="H22" s="79">
        <v>0</v>
      </c>
      <c r="I22" s="79">
        <v>0</v>
      </c>
      <c r="J22" s="79">
        <v>0</v>
      </c>
      <c r="K22" s="79">
        <v>0</v>
      </c>
      <c r="L22" s="79">
        <v>0</v>
      </c>
      <c r="M22" s="79">
        <v>0</v>
      </c>
      <c r="N22" s="79">
        <v>0</v>
      </c>
      <c r="O22" s="79">
        <v>0</v>
      </c>
      <c r="P22" s="79">
        <v>8497</v>
      </c>
      <c r="Q22" s="79">
        <v>0</v>
      </c>
      <c r="R22" s="79">
        <v>0</v>
      </c>
      <c r="S22" s="79">
        <v>0</v>
      </c>
      <c r="T22" s="79">
        <v>0</v>
      </c>
      <c r="U22" s="79">
        <v>24848093</v>
      </c>
      <c r="V22" s="79">
        <v>0</v>
      </c>
      <c r="W22" s="79">
        <v>0</v>
      </c>
      <c r="X22" s="79">
        <v>0</v>
      </c>
      <c r="Y22" s="79">
        <v>0</v>
      </c>
      <c r="Z22" s="79">
        <v>0</v>
      </c>
      <c r="AA22" s="79">
        <v>0</v>
      </c>
      <c r="AB22" s="79">
        <v>0</v>
      </c>
      <c r="AC22" s="79">
        <v>0</v>
      </c>
      <c r="AD22" s="79">
        <v>816148</v>
      </c>
      <c r="AE22" s="79">
        <v>0</v>
      </c>
      <c r="AF22" s="79">
        <v>216263</v>
      </c>
      <c r="AG22" s="79">
        <v>2937</v>
      </c>
      <c r="AH22" s="79">
        <v>0</v>
      </c>
      <c r="AI22" s="79">
        <v>0</v>
      </c>
      <c r="AJ22" s="79">
        <v>1785992</v>
      </c>
      <c r="AK22" s="79">
        <v>1522</v>
      </c>
      <c r="AL22" s="79">
        <v>0</v>
      </c>
      <c r="AM22" s="102">
        <v>0</v>
      </c>
      <c r="AN22" s="103">
        <v>27751638</v>
      </c>
      <c r="AO22" s="79">
        <v>0</v>
      </c>
      <c r="AP22" s="79">
        <v>5899609</v>
      </c>
      <c r="AQ22" s="79">
        <v>0</v>
      </c>
      <c r="AR22" s="79">
        <v>857899</v>
      </c>
      <c r="AS22" s="79">
        <v>6865919</v>
      </c>
      <c r="AT22" s="102">
        <v>119233</v>
      </c>
      <c r="AU22" s="103">
        <v>13742660</v>
      </c>
      <c r="AV22" s="103">
        <v>41494298</v>
      </c>
      <c r="AW22" s="102">
        <v>18471877</v>
      </c>
      <c r="AX22" s="103">
        <v>18471877</v>
      </c>
      <c r="AY22" s="103">
        <v>32214537</v>
      </c>
      <c r="AZ22" s="103">
        <v>59966175</v>
      </c>
      <c r="BA22" s="79">
        <v>-4255337</v>
      </c>
      <c r="BB22" s="79">
        <v>0</v>
      </c>
      <c r="BC22" s="102">
        <v>-333125</v>
      </c>
      <c r="BD22" s="102">
        <v>-4588462</v>
      </c>
      <c r="BE22" s="103">
        <v>27626075</v>
      </c>
      <c r="BF22" s="103">
        <v>55377713</v>
      </c>
      <c r="BH22" s="101">
        <f t="shared" si="0"/>
        <v>0.88941945710227466</v>
      </c>
    </row>
    <row r="23" spans="1:60" x14ac:dyDescent="0.2">
      <c r="A23" s="92" t="s">
        <v>444</v>
      </c>
      <c r="B23" s="79" t="s">
        <v>445</v>
      </c>
      <c r="C23" s="92">
        <v>30646</v>
      </c>
      <c r="D23" s="79">
        <v>3605</v>
      </c>
      <c r="E23" s="79">
        <v>323847</v>
      </c>
      <c r="F23" s="79">
        <v>58272</v>
      </c>
      <c r="G23" s="79">
        <v>171775</v>
      </c>
      <c r="H23" s="79">
        <v>101798</v>
      </c>
      <c r="I23" s="79">
        <v>21632</v>
      </c>
      <c r="J23" s="79">
        <v>29025</v>
      </c>
      <c r="K23" s="79">
        <v>61416</v>
      </c>
      <c r="L23" s="79">
        <v>216986</v>
      </c>
      <c r="M23" s="79">
        <v>285673</v>
      </c>
      <c r="N23" s="79">
        <v>34128</v>
      </c>
      <c r="O23" s="79">
        <v>14165</v>
      </c>
      <c r="P23" s="79">
        <v>51182</v>
      </c>
      <c r="Q23" s="79">
        <v>47941</v>
      </c>
      <c r="R23" s="79">
        <v>73464</v>
      </c>
      <c r="S23" s="79">
        <v>64748</v>
      </c>
      <c r="T23" s="79">
        <v>41465</v>
      </c>
      <c r="U23" s="79">
        <v>93023</v>
      </c>
      <c r="V23" s="79">
        <v>515226</v>
      </c>
      <c r="W23" s="79">
        <v>210846</v>
      </c>
      <c r="X23" s="79">
        <v>222733</v>
      </c>
      <c r="Y23" s="79">
        <v>16542</v>
      </c>
      <c r="Z23" s="79">
        <v>19038</v>
      </c>
      <c r="AA23" s="79">
        <v>584929</v>
      </c>
      <c r="AB23" s="79">
        <v>564980</v>
      </c>
      <c r="AC23" s="79">
        <v>5750</v>
      </c>
      <c r="AD23" s="79">
        <v>128407</v>
      </c>
      <c r="AE23" s="79">
        <v>1175091</v>
      </c>
      <c r="AF23" s="79">
        <v>351787</v>
      </c>
      <c r="AG23" s="79">
        <v>762499</v>
      </c>
      <c r="AH23" s="79">
        <v>281994</v>
      </c>
      <c r="AI23" s="79">
        <v>209687</v>
      </c>
      <c r="AJ23" s="79">
        <v>743473</v>
      </c>
      <c r="AK23" s="79">
        <v>348173</v>
      </c>
      <c r="AL23" s="79">
        <v>214894</v>
      </c>
      <c r="AM23" s="102">
        <v>7804</v>
      </c>
      <c r="AN23" s="103">
        <v>8088644</v>
      </c>
      <c r="AO23" s="79">
        <v>219835</v>
      </c>
      <c r="AP23" s="79">
        <v>3074041</v>
      </c>
      <c r="AQ23" s="79">
        <v>10</v>
      </c>
      <c r="AR23" s="79">
        <v>111388</v>
      </c>
      <c r="AS23" s="79">
        <v>1068573</v>
      </c>
      <c r="AT23" s="102">
        <v>39449</v>
      </c>
      <c r="AU23" s="103">
        <v>4513296</v>
      </c>
      <c r="AV23" s="103">
        <v>12601940</v>
      </c>
      <c r="AW23" s="102">
        <v>766143</v>
      </c>
      <c r="AX23" s="103">
        <v>766143</v>
      </c>
      <c r="AY23" s="103">
        <v>5279439</v>
      </c>
      <c r="AZ23" s="103">
        <v>13368083</v>
      </c>
      <c r="BA23" s="79">
        <v>-3105882</v>
      </c>
      <c r="BB23" s="79">
        <v>-108335</v>
      </c>
      <c r="BC23" s="102">
        <v>-224553</v>
      </c>
      <c r="BD23" s="102">
        <v>-3438770</v>
      </c>
      <c r="BE23" s="103">
        <v>1840669</v>
      </c>
      <c r="BF23" s="103">
        <v>9929313</v>
      </c>
      <c r="BH23" s="101">
        <f t="shared" si="0"/>
        <v>0.72712376030992054</v>
      </c>
    </row>
    <row r="24" spans="1:60" x14ac:dyDescent="0.2">
      <c r="A24" s="92" t="s">
        <v>446</v>
      </c>
      <c r="B24" s="79" t="s">
        <v>447</v>
      </c>
      <c r="C24" s="92">
        <v>30170</v>
      </c>
      <c r="D24" s="79">
        <v>2604</v>
      </c>
      <c r="E24" s="79">
        <v>17938</v>
      </c>
      <c r="F24" s="79">
        <v>8068</v>
      </c>
      <c r="G24" s="79">
        <v>41694</v>
      </c>
      <c r="H24" s="79">
        <v>86227</v>
      </c>
      <c r="I24" s="79">
        <v>5809</v>
      </c>
      <c r="J24" s="79">
        <v>41315</v>
      </c>
      <c r="K24" s="79">
        <v>33850</v>
      </c>
      <c r="L24" s="79">
        <v>106287</v>
      </c>
      <c r="M24" s="79">
        <v>26342</v>
      </c>
      <c r="N24" s="79">
        <v>43111</v>
      </c>
      <c r="O24" s="79">
        <v>17351</v>
      </c>
      <c r="P24" s="79">
        <v>26866</v>
      </c>
      <c r="Q24" s="79">
        <v>8379</v>
      </c>
      <c r="R24" s="79">
        <v>42911</v>
      </c>
      <c r="S24" s="79">
        <v>27167</v>
      </c>
      <c r="T24" s="79">
        <v>8547</v>
      </c>
      <c r="U24" s="79">
        <v>33752</v>
      </c>
      <c r="V24" s="79">
        <v>13780</v>
      </c>
      <c r="W24" s="79">
        <v>37948</v>
      </c>
      <c r="X24" s="79">
        <v>357223</v>
      </c>
      <c r="Y24" s="79">
        <v>133015</v>
      </c>
      <c r="Z24" s="79">
        <v>13937</v>
      </c>
      <c r="AA24" s="79">
        <v>276671</v>
      </c>
      <c r="AB24" s="79">
        <v>86761</v>
      </c>
      <c r="AC24" s="79">
        <v>722676</v>
      </c>
      <c r="AD24" s="79">
        <v>358460</v>
      </c>
      <c r="AE24" s="79">
        <v>170921</v>
      </c>
      <c r="AF24" s="79">
        <v>324300</v>
      </c>
      <c r="AG24" s="79">
        <v>229883</v>
      </c>
      <c r="AH24" s="79">
        <v>151767</v>
      </c>
      <c r="AI24" s="79">
        <v>7339</v>
      </c>
      <c r="AJ24" s="79">
        <v>89065</v>
      </c>
      <c r="AK24" s="79">
        <v>117246</v>
      </c>
      <c r="AL24" s="79">
        <v>0</v>
      </c>
      <c r="AM24" s="102">
        <v>0</v>
      </c>
      <c r="AN24" s="103">
        <v>3699380</v>
      </c>
      <c r="AO24" s="79">
        <v>0</v>
      </c>
      <c r="AP24" s="79">
        <v>0</v>
      </c>
      <c r="AQ24" s="79">
        <v>0</v>
      </c>
      <c r="AR24" s="79">
        <v>20550168</v>
      </c>
      <c r="AS24" s="79">
        <v>36587021</v>
      </c>
      <c r="AT24" s="102">
        <v>0</v>
      </c>
      <c r="AU24" s="103">
        <v>57137189</v>
      </c>
      <c r="AV24" s="103">
        <v>60836569</v>
      </c>
      <c r="AW24" s="102">
        <v>0</v>
      </c>
      <c r="AX24" s="103">
        <v>0</v>
      </c>
      <c r="AY24" s="103">
        <v>57137189</v>
      </c>
      <c r="AZ24" s="103">
        <v>60836569</v>
      </c>
      <c r="BA24" s="79">
        <v>0</v>
      </c>
      <c r="BB24" s="79">
        <v>0</v>
      </c>
      <c r="BC24" s="102">
        <v>0</v>
      </c>
      <c r="BD24" s="102">
        <v>0</v>
      </c>
      <c r="BE24" s="103">
        <v>57137189</v>
      </c>
      <c r="BF24" s="103">
        <v>60836569</v>
      </c>
      <c r="BH24" s="101">
        <f t="shared" si="0"/>
        <v>1</v>
      </c>
    </row>
    <row r="25" spans="1:60" x14ac:dyDescent="0.2">
      <c r="A25" s="92" t="s">
        <v>448</v>
      </c>
      <c r="B25" s="79" t="s">
        <v>449</v>
      </c>
      <c r="C25" s="92">
        <v>119603</v>
      </c>
      <c r="D25" s="79">
        <v>32069</v>
      </c>
      <c r="E25" s="79">
        <v>509336</v>
      </c>
      <c r="F25" s="79">
        <v>110091</v>
      </c>
      <c r="G25" s="79">
        <v>509238</v>
      </c>
      <c r="H25" s="79">
        <v>810680</v>
      </c>
      <c r="I25" s="79">
        <v>128917</v>
      </c>
      <c r="J25" s="79">
        <v>454407</v>
      </c>
      <c r="K25" s="79">
        <v>343938</v>
      </c>
      <c r="L25" s="79">
        <v>1175487</v>
      </c>
      <c r="M25" s="79">
        <v>313425</v>
      </c>
      <c r="N25" s="79">
        <v>273139</v>
      </c>
      <c r="O25" s="79">
        <v>141566</v>
      </c>
      <c r="P25" s="79">
        <v>179457</v>
      </c>
      <c r="Q25" s="79">
        <v>67279</v>
      </c>
      <c r="R25" s="79">
        <v>382362</v>
      </c>
      <c r="S25" s="79">
        <v>147357</v>
      </c>
      <c r="T25" s="79">
        <v>30318</v>
      </c>
      <c r="U25" s="79">
        <v>677372</v>
      </c>
      <c r="V25" s="79">
        <v>177207</v>
      </c>
      <c r="W25" s="79">
        <v>197529</v>
      </c>
      <c r="X25" s="79">
        <v>2122867</v>
      </c>
      <c r="Y25" s="79">
        <v>192002</v>
      </c>
      <c r="Z25" s="79">
        <v>361559</v>
      </c>
      <c r="AA25" s="79">
        <v>2152379</v>
      </c>
      <c r="AB25" s="79">
        <v>177305</v>
      </c>
      <c r="AC25" s="79">
        <v>324512</v>
      </c>
      <c r="AD25" s="79">
        <v>696286</v>
      </c>
      <c r="AE25" s="79">
        <v>286139</v>
      </c>
      <c r="AF25" s="79">
        <v>476933</v>
      </c>
      <c r="AG25" s="79">
        <v>844091</v>
      </c>
      <c r="AH25" s="79">
        <v>847937</v>
      </c>
      <c r="AI25" s="79">
        <v>20451</v>
      </c>
      <c r="AJ25" s="79">
        <v>401838</v>
      </c>
      <c r="AK25" s="79">
        <v>1966385</v>
      </c>
      <c r="AL25" s="79">
        <v>0</v>
      </c>
      <c r="AM25" s="102">
        <v>21285</v>
      </c>
      <c r="AN25" s="103">
        <v>17672746</v>
      </c>
      <c r="AO25" s="79">
        <v>6754</v>
      </c>
      <c r="AP25" s="79">
        <v>6895130</v>
      </c>
      <c r="AQ25" s="79">
        <v>0</v>
      </c>
      <c r="AR25" s="79">
        <v>0</v>
      </c>
      <c r="AS25" s="79">
        <v>0</v>
      </c>
      <c r="AT25" s="102">
        <v>0</v>
      </c>
      <c r="AU25" s="103">
        <v>6901884</v>
      </c>
      <c r="AV25" s="103">
        <v>24574630</v>
      </c>
      <c r="AW25" s="102">
        <v>60832</v>
      </c>
      <c r="AX25" s="103">
        <v>60832</v>
      </c>
      <c r="AY25" s="103">
        <v>6962716</v>
      </c>
      <c r="AZ25" s="103">
        <v>24635462</v>
      </c>
      <c r="BA25" s="79">
        <v>-1753</v>
      </c>
      <c r="BB25" s="79">
        <v>0</v>
      </c>
      <c r="BC25" s="102">
        <v>0</v>
      </c>
      <c r="BD25" s="102">
        <v>-1753</v>
      </c>
      <c r="BE25" s="103">
        <v>6960963</v>
      </c>
      <c r="BF25" s="103">
        <v>24633709</v>
      </c>
      <c r="BH25" s="101">
        <f t="shared" si="0"/>
        <v>0.99992866627086552</v>
      </c>
    </row>
    <row r="26" spans="1:60" x14ac:dyDescent="0.2">
      <c r="A26" s="92" t="s">
        <v>450</v>
      </c>
      <c r="B26" s="79" t="s">
        <v>451</v>
      </c>
      <c r="C26" s="92">
        <v>7207</v>
      </c>
      <c r="D26" s="79">
        <v>2172</v>
      </c>
      <c r="E26" s="79">
        <v>70326</v>
      </c>
      <c r="F26" s="79">
        <v>5792</v>
      </c>
      <c r="G26" s="79">
        <v>23542</v>
      </c>
      <c r="H26" s="79">
        <v>67682</v>
      </c>
      <c r="I26" s="79">
        <v>8074</v>
      </c>
      <c r="J26" s="79">
        <v>13055</v>
      </c>
      <c r="K26" s="79">
        <v>7791</v>
      </c>
      <c r="L26" s="79">
        <v>26130</v>
      </c>
      <c r="M26" s="79">
        <v>6876</v>
      </c>
      <c r="N26" s="79">
        <v>7833</v>
      </c>
      <c r="O26" s="79">
        <v>6448</v>
      </c>
      <c r="P26" s="79">
        <v>9431</v>
      </c>
      <c r="Q26" s="79">
        <v>4419</v>
      </c>
      <c r="R26" s="79">
        <v>23210</v>
      </c>
      <c r="S26" s="79">
        <v>9318</v>
      </c>
      <c r="T26" s="79">
        <v>1381</v>
      </c>
      <c r="U26" s="79">
        <v>20866</v>
      </c>
      <c r="V26" s="79">
        <v>7983</v>
      </c>
      <c r="W26" s="79">
        <v>44881</v>
      </c>
      <c r="X26" s="79">
        <v>18863</v>
      </c>
      <c r="Y26" s="79">
        <v>407907</v>
      </c>
      <c r="Z26" s="79">
        <v>44308</v>
      </c>
      <c r="AA26" s="79">
        <v>214782</v>
      </c>
      <c r="AB26" s="79">
        <v>44067</v>
      </c>
      <c r="AC26" s="79">
        <v>32250</v>
      </c>
      <c r="AD26" s="79">
        <v>197939</v>
      </c>
      <c r="AE26" s="79">
        <v>88692</v>
      </c>
      <c r="AF26" s="79">
        <v>158630</v>
      </c>
      <c r="AG26" s="79">
        <v>386792</v>
      </c>
      <c r="AH26" s="79">
        <v>321745</v>
      </c>
      <c r="AI26" s="79">
        <v>9977</v>
      </c>
      <c r="AJ26" s="79">
        <v>54540</v>
      </c>
      <c r="AK26" s="79">
        <v>472099</v>
      </c>
      <c r="AL26" s="79">
        <v>0</v>
      </c>
      <c r="AM26" s="102">
        <v>6497</v>
      </c>
      <c r="AN26" s="103">
        <v>2833505</v>
      </c>
      <c r="AO26" s="79">
        <v>2686</v>
      </c>
      <c r="AP26" s="79">
        <v>1902465</v>
      </c>
      <c r="AQ26" s="79">
        <v>-212400</v>
      </c>
      <c r="AR26" s="79">
        <v>0</v>
      </c>
      <c r="AS26" s="79">
        <v>0</v>
      </c>
      <c r="AT26" s="102">
        <v>0</v>
      </c>
      <c r="AU26" s="103">
        <v>1692751</v>
      </c>
      <c r="AV26" s="103">
        <v>4526256</v>
      </c>
      <c r="AW26" s="102">
        <v>20868</v>
      </c>
      <c r="AX26" s="103">
        <v>20868</v>
      </c>
      <c r="AY26" s="103">
        <v>1713619</v>
      </c>
      <c r="AZ26" s="103">
        <v>4547124</v>
      </c>
      <c r="BA26" s="79">
        <v>-1534</v>
      </c>
      <c r="BB26" s="79">
        <v>0</v>
      </c>
      <c r="BC26" s="102">
        <v>0</v>
      </c>
      <c r="BD26" s="102">
        <v>-1534</v>
      </c>
      <c r="BE26" s="103">
        <v>1712085</v>
      </c>
      <c r="BF26" s="103">
        <v>4545590</v>
      </c>
      <c r="BH26" s="101">
        <f t="shared" si="0"/>
        <v>0.99966108854647195</v>
      </c>
    </row>
    <row r="27" spans="1:60" x14ac:dyDescent="0.2">
      <c r="A27" s="92" t="s">
        <v>452</v>
      </c>
      <c r="B27" s="79" t="s">
        <v>453</v>
      </c>
      <c r="C27" s="92">
        <v>5018</v>
      </c>
      <c r="D27" s="79">
        <v>1948</v>
      </c>
      <c r="E27" s="79">
        <v>30210</v>
      </c>
      <c r="F27" s="79">
        <v>824</v>
      </c>
      <c r="G27" s="79">
        <v>9011</v>
      </c>
      <c r="H27" s="79">
        <v>63722</v>
      </c>
      <c r="I27" s="79">
        <v>202</v>
      </c>
      <c r="J27" s="79">
        <v>1031</v>
      </c>
      <c r="K27" s="79">
        <v>15034</v>
      </c>
      <c r="L27" s="79">
        <v>3698</v>
      </c>
      <c r="M27" s="79">
        <v>1505</v>
      </c>
      <c r="N27" s="79">
        <v>982</v>
      </c>
      <c r="O27" s="79">
        <v>2886</v>
      </c>
      <c r="P27" s="79">
        <v>409</v>
      </c>
      <c r="Q27" s="79">
        <v>3426</v>
      </c>
      <c r="R27" s="79">
        <v>10085</v>
      </c>
      <c r="S27" s="79">
        <v>3760</v>
      </c>
      <c r="T27" s="79">
        <v>994</v>
      </c>
      <c r="U27" s="79">
        <v>19993</v>
      </c>
      <c r="V27" s="79">
        <v>3347</v>
      </c>
      <c r="W27" s="79">
        <v>115443</v>
      </c>
      <c r="X27" s="79">
        <v>250629</v>
      </c>
      <c r="Y27" s="79">
        <v>8962</v>
      </c>
      <c r="Z27" s="79">
        <v>0</v>
      </c>
      <c r="AA27" s="79">
        <v>126432</v>
      </c>
      <c r="AB27" s="79">
        <v>111251</v>
      </c>
      <c r="AC27" s="79">
        <v>1025</v>
      </c>
      <c r="AD27" s="79">
        <v>272174</v>
      </c>
      <c r="AE27" s="79">
        <v>177355</v>
      </c>
      <c r="AF27" s="79">
        <v>1083959</v>
      </c>
      <c r="AG27" s="79">
        <v>206714</v>
      </c>
      <c r="AH27" s="79">
        <v>245589</v>
      </c>
      <c r="AI27" s="79">
        <v>156</v>
      </c>
      <c r="AJ27" s="79">
        <v>21940</v>
      </c>
      <c r="AK27" s="79">
        <v>950186</v>
      </c>
      <c r="AL27" s="79">
        <v>0</v>
      </c>
      <c r="AM27" s="102">
        <v>67363</v>
      </c>
      <c r="AN27" s="103">
        <v>3817263</v>
      </c>
      <c r="AO27" s="79">
        <v>0</v>
      </c>
      <c r="AP27" s="79">
        <v>292863</v>
      </c>
      <c r="AQ27" s="79">
        <v>783652</v>
      </c>
      <c r="AR27" s="79">
        <v>0</v>
      </c>
      <c r="AS27" s="79">
        <v>0</v>
      </c>
      <c r="AT27" s="102">
        <v>0</v>
      </c>
      <c r="AU27" s="103">
        <v>1076515</v>
      </c>
      <c r="AV27" s="103">
        <v>4893778</v>
      </c>
      <c r="AW27" s="102">
        <v>8508</v>
      </c>
      <c r="AX27" s="103">
        <v>8508</v>
      </c>
      <c r="AY27" s="103">
        <v>1085023</v>
      </c>
      <c r="AZ27" s="103">
        <v>4902286</v>
      </c>
      <c r="BA27" s="79">
        <v>-306</v>
      </c>
      <c r="BB27" s="79">
        <v>0</v>
      </c>
      <c r="BC27" s="102">
        <v>0</v>
      </c>
      <c r="BD27" s="102">
        <v>-306</v>
      </c>
      <c r="BE27" s="103">
        <v>1084717</v>
      </c>
      <c r="BF27" s="103">
        <v>4901980</v>
      </c>
      <c r="BH27" s="101">
        <f t="shared" si="0"/>
        <v>0.9999374716221292</v>
      </c>
    </row>
    <row r="28" spans="1:60" x14ac:dyDescent="0.2">
      <c r="A28" s="92" t="s">
        <v>454</v>
      </c>
      <c r="B28" s="79" t="s">
        <v>395</v>
      </c>
      <c r="C28" s="92">
        <v>843366</v>
      </c>
      <c r="D28" s="79">
        <v>17469</v>
      </c>
      <c r="E28" s="79">
        <v>2745302</v>
      </c>
      <c r="F28" s="79">
        <v>263341</v>
      </c>
      <c r="G28" s="79">
        <v>930866</v>
      </c>
      <c r="H28" s="79">
        <v>1074524</v>
      </c>
      <c r="I28" s="79">
        <v>177841</v>
      </c>
      <c r="J28" s="79">
        <v>790818</v>
      </c>
      <c r="K28" s="79">
        <v>228008</v>
      </c>
      <c r="L28" s="79">
        <v>615956</v>
      </c>
      <c r="M28" s="79">
        <v>335749</v>
      </c>
      <c r="N28" s="79">
        <v>519991</v>
      </c>
      <c r="O28" s="79">
        <v>452188</v>
      </c>
      <c r="P28" s="79">
        <v>666210</v>
      </c>
      <c r="Q28" s="79">
        <v>328007</v>
      </c>
      <c r="R28" s="79">
        <v>558642</v>
      </c>
      <c r="S28" s="79">
        <v>808339</v>
      </c>
      <c r="T28" s="79">
        <v>231375</v>
      </c>
      <c r="U28" s="79">
        <v>2138103</v>
      </c>
      <c r="V28" s="79">
        <v>695385</v>
      </c>
      <c r="W28" s="79">
        <v>3375890</v>
      </c>
      <c r="X28" s="79">
        <v>437804</v>
      </c>
      <c r="Y28" s="79">
        <v>80993</v>
      </c>
      <c r="Z28" s="79">
        <v>72149</v>
      </c>
      <c r="AA28" s="79">
        <v>1031674</v>
      </c>
      <c r="AB28" s="79">
        <v>188269</v>
      </c>
      <c r="AC28" s="79">
        <v>100454</v>
      </c>
      <c r="AD28" s="79">
        <v>1490588</v>
      </c>
      <c r="AE28" s="79">
        <v>603888</v>
      </c>
      <c r="AF28" s="79">
        <v>391574</v>
      </c>
      <c r="AG28" s="79">
        <v>825179</v>
      </c>
      <c r="AH28" s="79">
        <v>3391361</v>
      </c>
      <c r="AI28" s="79">
        <v>169193</v>
      </c>
      <c r="AJ28" s="79">
        <v>1383433</v>
      </c>
      <c r="AK28" s="79">
        <v>4244074</v>
      </c>
      <c r="AL28" s="79">
        <v>331919</v>
      </c>
      <c r="AM28" s="102">
        <v>47205</v>
      </c>
      <c r="AN28" s="103">
        <v>32587127</v>
      </c>
      <c r="AO28" s="79">
        <v>1663548</v>
      </c>
      <c r="AP28" s="79">
        <v>48154709</v>
      </c>
      <c r="AQ28" s="79">
        <v>10279</v>
      </c>
      <c r="AR28" s="79">
        <v>496482</v>
      </c>
      <c r="AS28" s="79">
        <v>6899753</v>
      </c>
      <c r="AT28" s="102">
        <v>181619</v>
      </c>
      <c r="AU28" s="103">
        <v>57406390</v>
      </c>
      <c r="AV28" s="103">
        <v>89993517</v>
      </c>
      <c r="AW28" s="102">
        <v>5674864</v>
      </c>
      <c r="AX28" s="103">
        <v>5674864</v>
      </c>
      <c r="AY28" s="103">
        <v>63081254</v>
      </c>
      <c r="AZ28" s="103">
        <v>95668381</v>
      </c>
      <c r="BA28" s="79">
        <v>-189500</v>
      </c>
      <c r="BB28" s="79">
        <v>0</v>
      </c>
      <c r="BC28" s="102">
        <v>0</v>
      </c>
      <c r="BD28" s="102">
        <v>-189500</v>
      </c>
      <c r="BE28" s="103">
        <v>62891754</v>
      </c>
      <c r="BF28" s="103">
        <v>95478881</v>
      </c>
      <c r="BH28" s="101">
        <f t="shared" si="0"/>
        <v>0.99789429276333319</v>
      </c>
    </row>
    <row r="29" spans="1:60" x14ac:dyDescent="0.2">
      <c r="A29" s="92" t="s">
        <v>455</v>
      </c>
      <c r="B29" s="79" t="s">
        <v>383</v>
      </c>
      <c r="C29" s="92">
        <v>81031</v>
      </c>
      <c r="D29" s="79">
        <v>34285</v>
      </c>
      <c r="E29" s="79">
        <v>219896</v>
      </c>
      <c r="F29" s="79">
        <v>65141</v>
      </c>
      <c r="G29" s="79">
        <v>113857</v>
      </c>
      <c r="H29" s="79">
        <v>182028</v>
      </c>
      <c r="I29" s="79">
        <v>56826</v>
      </c>
      <c r="J29" s="79">
        <v>55928</v>
      </c>
      <c r="K29" s="79">
        <v>67983</v>
      </c>
      <c r="L29" s="79">
        <v>115982</v>
      </c>
      <c r="M29" s="79">
        <v>70946</v>
      </c>
      <c r="N29" s="79">
        <v>133590</v>
      </c>
      <c r="O29" s="79">
        <v>70015</v>
      </c>
      <c r="P29" s="79">
        <v>116355</v>
      </c>
      <c r="Q29" s="79">
        <v>74866</v>
      </c>
      <c r="R29" s="79">
        <v>84302</v>
      </c>
      <c r="S29" s="79">
        <v>97179</v>
      </c>
      <c r="T29" s="79">
        <v>34238</v>
      </c>
      <c r="U29" s="79">
        <v>240983</v>
      </c>
      <c r="V29" s="79">
        <v>144818</v>
      </c>
      <c r="W29" s="79">
        <v>762114</v>
      </c>
      <c r="X29" s="79">
        <v>403924</v>
      </c>
      <c r="Y29" s="79">
        <v>107466</v>
      </c>
      <c r="Z29" s="79">
        <v>132434</v>
      </c>
      <c r="AA29" s="79">
        <v>1633952</v>
      </c>
      <c r="AB29" s="79">
        <v>1636045</v>
      </c>
      <c r="AC29" s="79">
        <v>6138221</v>
      </c>
      <c r="AD29" s="79">
        <v>1254226</v>
      </c>
      <c r="AE29" s="79">
        <v>279321</v>
      </c>
      <c r="AF29" s="79">
        <v>836596</v>
      </c>
      <c r="AG29" s="79">
        <v>321867</v>
      </c>
      <c r="AH29" s="79">
        <v>587779</v>
      </c>
      <c r="AI29" s="79">
        <v>114253</v>
      </c>
      <c r="AJ29" s="79">
        <v>654730</v>
      </c>
      <c r="AK29" s="79">
        <v>391253</v>
      </c>
      <c r="AL29" s="79">
        <v>0</v>
      </c>
      <c r="AM29" s="102">
        <v>13399</v>
      </c>
      <c r="AN29" s="103">
        <v>17327829</v>
      </c>
      <c r="AO29" s="79">
        <v>282</v>
      </c>
      <c r="AP29" s="79">
        <v>17774586</v>
      </c>
      <c r="AQ29" s="79">
        <v>0</v>
      </c>
      <c r="AR29" s="79">
        <v>0</v>
      </c>
      <c r="AS29" s="79">
        <v>0</v>
      </c>
      <c r="AT29" s="102">
        <v>0</v>
      </c>
      <c r="AU29" s="103">
        <v>17774868</v>
      </c>
      <c r="AV29" s="103">
        <v>35102697</v>
      </c>
      <c r="AW29" s="102">
        <v>1744931</v>
      </c>
      <c r="AX29" s="103">
        <v>1744931</v>
      </c>
      <c r="AY29" s="103">
        <v>19519799</v>
      </c>
      <c r="AZ29" s="103">
        <v>36847628</v>
      </c>
      <c r="BA29" s="79">
        <v>-1399404</v>
      </c>
      <c r="BB29" s="79">
        <v>0</v>
      </c>
      <c r="BC29" s="102">
        <v>0</v>
      </c>
      <c r="BD29" s="102">
        <v>-1399404</v>
      </c>
      <c r="BE29" s="103">
        <v>18120395</v>
      </c>
      <c r="BF29" s="103">
        <v>35448224</v>
      </c>
      <c r="BH29" s="101">
        <f t="shared" si="0"/>
        <v>0.9601340033787148</v>
      </c>
    </row>
    <row r="30" spans="1:60" x14ac:dyDescent="0.2">
      <c r="A30" s="92" t="s">
        <v>456</v>
      </c>
      <c r="B30" s="79" t="s">
        <v>457</v>
      </c>
      <c r="C30" s="92">
        <v>23450</v>
      </c>
      <c r="D30" s="79">
        <v>7017</v>
      </c>
      <c r="E30" s="79">
        <v>87856</v>
      </c>
      <c r="F30" s="79">
        <v>13379</v>
      </c>
      <c r="G30" s="79">
        <v>28270</v>
      </c>
      <c r="H30" s="79">
        <v>67351</v>
      </c>
      <c r="I30" s="79">
        <v>6116</v>
      </c>
      <c r="J30" s="79">
        <v>44114</v>
      </c>
      <c r="K30" s="79">
        <v>20324</v>
      </c>
      <c r="L30" s="79">
        <v>33193</v>
      </c>
      <c r="M30" s="79">
        <v>8654</v>
      </c>
      <c r="N30" s="79">
        <v>47862</v>
      </c>
      <c r="O30" s="79">
        <v>27955</v>
      </c>
      <c r="P30" s="79">
        <v>42394</v>
      </c>
      <c r="Q30" s="79">
        <v>13192</v>
      </c>
      <c r="R30" s="79">
        <v>21822</v>
      </c>
      <c r="S30" s="79">
        <v>41279</v>
      </c>
      <c r="T30" s="79">
        <v>13423</v>
      </c>
      <c r="U30" s="79">
        <v>42862</v>
      </c>
      <c r="V30" s="79">
        <v>29774</v>
      </c>
      <c r="W30" s="79">
        <v>276234</v>
      </c>
      <c r="X30" s="79">
        <v>138967</v>
      </c>
      <c r="Y30" s="79">
        <v>6284</v>
      </c>
      <c r="Z30" s="79">
        <v>8996</v>
      </c>
      <c r="AA30" s="79">
        <v>2656385</v>
      </c>
      <c r="AB30" s="79">
        <v>541343</v>
      </c>
      <c r="AC30" s="79">
        <v>2408786</v>
      </c>
      <c r="AD30" s="79">
        <v>1060604</v>
      </c>
      <c r="AE30" s="79">
        <v>1156095</v>
      </c>
      <c r="AF30" s="79">
        <v>63536</v>
      </c>
      <c r="AG30" s="79">
        <v>341144</v>
      </c>
      <c r="AH30" s="79">
        <v>1088657</v>
      </c>
      <c r="AI30" s="79">
        <v>81346</v>
      </c>
      <c r="AJ30" s="79">
        <v>578233</v>
      </c>
      <c r="AK30" s="79">
        <v>709389</v>
      </c>
      <c r="AL30" s="79">
        <v>0</v>
      </c>
      <c r="AM30" s="102">
        <v>147832</v>
      </c>
      <c r="AN30" s="103">
        <v>11884118</v>
      </c>
      <c r="AO30" s="79">
        <v>0</v>
      </c>
      <c r="AP30" s="79">
        <v>65914089</v>
      </c>
      <c r="AQ30" s="79">
        <v>22007</v>
      </c>
      <c r="AR30" s="79">
        <v>0</v>
      </c>
      <c r="AS30" s="79">
        <v>2853657</v>
      </c>
      <c r="AT30" s="102">
        <v>0</v>
      </c>
      <c r="AU30" s="103">
        <v>68789753</v>
      </c>
      <c r="AV30" s="103">
        <v>80673871</v>
      </c>
      <c r="AW30" s="102">
        <v>46859</v>
      </c>
      <c r="AX30" s="103">
        <v>46859</v>
      </c>
      <c r="AY30" s="103">
        <v>68836612</v>
      </c>
      <c r="AZ30" s="103">
        <v>80720730</v>
      </c>
      <c r="BA30" s="79">
        <v>-1787</v>
      </c>
      <c r="BB30" s="79">
        <v>0</v>
      </c>
      <c r="BC30" s="102">
        <v>0</v>
      </c>
      <c r="BD30" s="102">
        <v>-1787</v>
      </c>
      <c r="BE30" s="103">
        <v>68834825</v>
      </c>
      <c r="BF30" s="103">
        <v>80718943</v>
      </c>
      <c r="BH30" s="101">
        <f t="shared" si="0"/>
        <v>0.99997784908573439</v>
      </c>
    </row>
    <row r="31" spans="1:60" x14ac:dyDescent="0.2">
      <c r="A31" s="92" t="s">
        <v>458</v>
      </c>
      <c r="B31" s="79" t="s">
        <v>384</v>
      </c>
      <c r="C31" s="92">
        <v>727074</v>
      </c>
      <c r="D31" s="79">
        <v>176147</v>
      </c>
      <c r="E31" s="79">
        <v>1258116</v>
      </c>
      <c r="F31" s="79">
        <v>93380</v>
      </c>
      <c r="G31" s="79">
        <v>473640</v>
      </c>
      <c r="H31" s="79">
        <v>706928</v>
      </c>
      <c r="I31" s="79">
        <v>332018</v>
      </c>
      <c r="J31" s="79">
        <v>268770</v>
      </c>
      <c r="K31" s="79">
        <v>375414</v>
      </c>
      <c r="L31" s="79">
        <v>559263</v>
      </c>
      <c r="M31" s="79">
        <v>271429</v>
      </c>
      <c r="N31" s="79">
        <v>337465</v>
      </c>
      <c r="O31" s="79">
        <v>219589</v>
      </c>
      <c r="P31" s="79">
        <v>314393</v>
      </c>
      <c r="Q31" s="79">
        <v>164051</v>
      </c>
      <c r="R31" s="79">
        <v>259784</v>
      </c>
      <c r="S31" s="79">
        <v>335610</v>
      </c>
      <c r="T31" s="79">
        <v>116407</v>
      </c>
      <c r="U31" s="79">
        <v>874930</v>
      </c>
      <c r="V31" s="79">
        <v>907495</v>
      </c>
      <c r="W31" s="79">
        <v>2669553</v>
      </c>
      <c r="X31" s="79">
        <v>951748</v>
      </c>
      <c r="Y31" s="79">
        <v>89767</v>
      </c>
      <c r="Z31" s="79">
        <v>303312</v>
      </c>
      <c r="AA31" s="79">
        <v>5132988</v>
      </c>
      <c r="AB31" s="79">
        <v>1263281</v>
      </c>
      <c r="AC31" s="79">
        <v>213181</v>
      </c>
      <c r="AD31" s="79">
        <v>6643436</v>
      </c>
      <c r="AE31" s="79">
        <v>1364670</v>
      </c>
      <c r="AF31" s="79">
        <v>1375475</v>
      </c>
      <c r="AG31" s="79">
        <v>1151129</v>
      </c>
      <c r="AH31" s="79">
        <v>1040379</v>
      </c>
      <c r="AI31" s="79">
        <v>169441</v>
      </c>
      <c r="AJ31" s="79">
        <v>1185047</v>
      </c>
      <c r="AK31" s="79">
        <v>2066266</v>
      </c>
      <c r="AL31" s="79">
        <v>74280</v>
      </c>
      <c r="AM31" s="102">
        <v>443793</v>
      </c>
      <c r="AN31" s="103">
        <v>34909649</v>
      </c>
      <c r="AO31" s="79">
        <v>416124</v>
      </c>
      <c r="AP31" s="79">
        <v>15055266</v>
      </c>
      <c r="AQ31" s="79">
        <v>52490</v>
      </c>
      <c r="AR31" s="79">
        <v>59524</v>
      </c>
      <c r="AS31" s="79">
        <v>771425</v>
      </c>
      <c r="AT31" s="102">
        <v>50411</v>
      </c>
      <c r="AU31" s="103">
        <v>16405240</v>
      </c>
      <c r="AV31" s="103">
        <v>51314889</v>
      </c>
      <c r="AW31" s="102">
        <v>7303895</v>
      </c>
      <c r="AX31" s="103">
        <v>7303895</v>
      </c>
      <c r="AY31" s="103">
        <v>23709135</v>
      </c>
      <c r="AZ31" s="103">
        <v>58618784</v>
      </c>
      <c r="BA31" s="79">
        <v>-3609366</v>
      </c>
      <c r="BB31" s="79">
        <v>0</v>
      </c>
      <c r="BC31" s="102">
        <v>0</v>
      </c>
      <c r="BD31" s="102">
        <v>-3609366</v>
      </c>
      <c r="BE31" s="103">
        <v>20099769</v>
      </c>
      <c r="BF31" s="103">
        <v>55009418</v>
      </c>
      <c r="BH31" s="101">
        <f t="shared" si="0"/>
        <v>0.9296624026605611</v>
      </c>
    </row>
    <row r="32" spans="1:60" x14ac:dyDescent="0.2">
      <c r="A32" s="92" t="s">
        <v>459</v>
      </c>
      <c r="B32" s="79" t="s">
        <v>380</v>
      </c>
      <c r="C32" s="92">
        <v>48697</v>
      </c>
      <c r="D32" s="79">
        <v>6828</v>
      </c>
      <c r="E32" s="79">
        <v>176298</v>
      </c>
      <c r="F32" s="79">
        <v>20103</v>
      </c>
      <c r="G32" s="79">
        <v>74804</v>
      </c>
      <c r="H32" s="79">
        <v>348065</v>
      </c>
      <c r="I32" s="79">
        <v>12089</v>
      </c>
      <c r="J32" s="79">
        <v>88149</v>
      </c>
      <c r="K32" s="79">
        <v>40255</v>
      </c>
      <c r="L32" s="79">
        <v>71397</v>
      </c>
      <c r="M32" s="79">
        <v>31302</v>
      </c>
      <c r="N32" s="79">
        <v>73083</v>
      </c>
      <c r="O32" s="79">
        <v>71347</v>
      </c>
      <c r="P32" s="79">
        <v>175975</v>
      </c>
      <c r="Q32" s="79">
        <v>53907</v>
      </c>
      <c r="R32" s="79">
        <v>124953</v>
      </c>
      <c r="S32" s="79">
        <v>202300</v>
      </c>
      <c r="T32" s="79">
        <v>105113</v>
      </c>
      <c r="U32" s="79">
        <v>158340</v>
      </c>
      <c r="V32" s="79">
        <v>68362</v>
      </c>
      <c r="W32" s="79">
        <v>536093</v>
      </c>
      <c r="X32" s="79">
        <v>274500</v>
      </c>
      <c r="Y32" s="79">
        <v>179014</v>
      </c>
      <c r="Z32" s="79">
        <v>47529</v>
      </c>
      <c r="AA32" s="79">
        <v>3563858</v>
      </c>
      <c r="AB32" s="79">
        <v>2046480</v>
      </c>
      <c r="AC32" s="79">
        <v>276629</v>
      </c>
      <c r="AD32" s="79">
        <v>566315</v>
      </c>
      <c r="AE32" s="79">
        <v>8453606</v>
      </c>
      <c r="AF32" s="79">
        <v>1207264</v>
      </c>
      <c r="AG32" s="79">
        <v>1267334</v>
      </c>
      <c r="AH32" s="79">
        <v>851760</v>
      </c>
      <c r="AI32" s="79">
        <v>308678</v>
      </c>
      <c r="AJ32" s="79">
        <v>5708560</v>
      </c>
      <c r="AK32" s="79">
        <v>1110267</v>
      </c>
      <c r="AL32" s="79">
        <v>0</v>
      </c>
      <c r="AM32" s="102">
        <v>354449</v>
      </c>
      <c r="AN32" s="103">
        <v>28703703</v>
      </c>
      <c r="AO32" s="79">
        <v>180634</v>
      </c>
      <c r="AP32" s="79">
        <v>13261541</v>
      </c>
      <c r="AQ32" s="79">
        <v>36245</v>
      </c>
      <c r="AR32" s="79">
        <v>1055204</v>
      </c>
      <c r="AS32" s="79">
        <v>8322706</v>
      </c>
      <c r="AT32" s="102">
        <v>-27004</v>
      </c>
      <c r="AU32" s="103">
        <v>22829326</v>
      </c>
      <c r="AV32" s="103">
        <v>51533029</v>
      </c>
      <c r="AW32" s="102">
        <v>763147</v>
      </c>
      <c r="AX32" s="103">
        <v>763147</v>
      </c>
      <c r="AY32" s="103">
        <v>23592473</v>
      </c>
      <c r="AZ32" s="103">
        <v>52296176</v>
      </c>
      <c r="BA32" s="79">
        <v>-2314324</v>
      </c>
      <c r="BB32" s="79">
        <v>0</v>
      </c>
      <c r="BC32" s="102">
        <v>-7341</v>
      </c>
      <c r="BD32" s="102">
        <v>-2321665</v>
      </c>
      <c r="BE32" s="103">
        <v>21270808</v>
      </c>
      <c r="BF32" s="103">
        <v>49974511</v>
      </c>
      <c r="BH32" s="101">
        <f t="shared" si="0"/>
        <v>0.95494801984179889</v>
      </c>
    </row>
    <row r="33" spans="1:60" x14ac:dyDescent="0.2">
      <c r="A33" s="92" t="s">
        <v>460</v>
      </c>
      <c r="B33" s="79" t="s">
        <v>461</v>
      </c>
      <c r="C33" s="92">
        <v>0</v>
      </c>
      <c r="D33" s="79">
        <v>0</v>
      </c>
      <c r="E33" s="79">
        <v>0</v>
      </c>
      <c r="F33" s="79">
        <v>0</v>
      </c>
      <c r="G33" s="79">
        <v>0</v>
      </c>
      <c r="H33" s="79">
        <v>0</v>
      </c>
      <c r="I33" s="79">
        <v>0</v>
      </c>
      <c r="J33" s="79">
        <v>0</v>
      </c>
      <c r="K33" s="79">
        <v>0</v>
      </c>
      <c r="L33" s="79">
        <v>0</v>
      </c>
      <c r="M33" s="79">
        <v>0</v>
      </c>
      <c r="N33" s="79">
        <v>0</v>
      </c>
      <c r="O33" s="79">
        <v>0</v>
      </c>
      <c r="P33" s="79">
        <v>0</v>
      </c>
      <c r="Q33" s="79">
        <v>0</v>
      </c>
      <c r="R33" s="79">
        <v>0</v>
      </c>
      <c r="S33" s="79">
        <v>0</v>
      </c>
      <c r="T33" s="79">
        <v>0</v>
      </c>
      <c r="U33" s="79">
        <v>0</v>
      </c>
      <c r="V33" s="79">
        <v>0</v>
      </c>
      <c r="W33" s="79">
        <v>0</v>
      </c>
      <c r="X33" s="79">
        <v>0</v>
      </c>
      <c r="Y33" s="79">
        <v>0</v>
      </c>
      <c r="Z33" s="79">
        <v>0</v>
      </c>
      <c r="AA33" s="79">
        <v>0</v>
      </c>
      <c r="AB33" s="79">
        <v>0</v>
      </c>
      <c r="AC33" s="79">
        <v>0</v>
      </c>
      <c r="AD33" s="79">
        <v>0</v>
      </c>
      <c r="AE33" s="79">
        <v>0</v>
      </c>
      <c r="AF33" s="79">
        <v>0</v>
      </c>
      <c r="AG33" s="79">
        <v>0</v>
      </c>
      <c r="AH33" s="79">
        <v>0</v>
      </c>
      <c r="AI33" s="79">
        <v>0</v>
      </c>
      <c r="AJ33" s="79">
        <v>0</v>
      </c>
      <c r="AK33" s="79">
        <v>0</v>
      </c>
      <c r="AL33" s="79">
        <v>0</v>
      </c>
      <c r="AM33" s="102">
        <v>1157289</v>
      </c>
      <c r="AN33" s="103">
        <v>1157289</v>
      </c>
      <c r="AO33" s="79">
        <v>0</v>
      </c>
      <c r="AP33" s="79">
        <v>1167743</v>
      </c>
      <c r="AQ33" s="79">
        <v>37414003</v>
      </c>
      <c r="AR33" s="79">
        <v>0</v>
      </c>
      <c r="AS33" s="79">
        <v>0</v>
      </c>
      <c r="AT33" s="102">
        <v>0</v>
      </c>
      <c r="AU33" s="103">
        <v>38581746</v>
      </c>
      <c r="AV33" s="103">
        <v>39739035</v>
      </c>
      <c r="AW33" s="102">
        <v>0</v>
      </c>
      <c r="AX33" s="103">
        <v>0</v>
      </c>
      <c r="AY33" s="103">
        <v>38581746</v>
      </c>
      <c r="AZ33" s="103">
        <v>39739035</v>
      </c>
      <c r="BA33" s="79">
        <v>0</v>
      </c>
      <c r="BB33" s="79">
        <v>0</v>
      </c>
      <c r="BC33" s="102">
        <v>0</v>
      </c>
      <c r="BD33" s="102">
        <v>0</v>
      </c>
      <c r="BE33" s="103">
        <v>38581746</v>
      </c>
      <c r="BF33" s="103">
        <v>39739035</v>
      </c>
      <c r="BH33" s="101">
        <f t="shared" si="0"/>
        <v>1</v>
      </c>
    </row>
    <row r="34" spans="1:60" x14ac:dyDescent="0.2">
      <c r="A34" s="92" t="s">
        <v>462</v>
      </c>
      <c r="B34" s="79" t="s">
        <v>463</v>
      </c>
      <c r="C34" s="92">
        <v>510</v>
      </c>
      <c r="D34" s="79">
        <v>255</v>
      </c>
      <c r="E34" s="79">
        <v>10238</v>
      </c>
      <c r="F34" s="79">
        <v>78</v>
      </c>
      <c r="G34" s="79">
        <v>1870</v>
      </c>
      <c r="H34" s="79">
        <v>8704</v>
      </c>
      <c r="I34" s="79">
        <v>115</v>
      </c>
      <c r="J34" s="79">
        <v>1704</v>
      </c>
      <c r="K34" s="79">
        <v>2420</v>
      </c>
      <c r="L34" s="79">
        <v>1654</v>
      </c>
      <c r="M34" s="79">
        <v>148</v>
      </c>
      <c r="N34" s="79">
        <v>4573</v>
      </c>
      <c r="O34" s="79">
        <v>6562</v>
      </c>
      <c r="P34" s="79">
        <v>6584</v>
      </c>
      <c r="Q34" s="79">
        <v>2189</v>
      </c>
      <c r="R34" s="79">
        <v>15189</v>
      </c>
      <c r="S34" s="79">
        <v>17531</v>
      </c>
      <c r="T34" s="79">
        <v>8147</v>
      </c>
      <c r="U34" s="79">
        <v>10390</v>
      </c>
      <c r="V34" s="79">
        <v>481</v>
      </c>
      <c r="W34" s="79">
        <v>9490</v>
      </c>
      <c r="X34" s="79">
        <v>13644</v>
      </c>
      <c r="Y34" s="79">
        <v>480</v>
      </c>
      <c r="Z34" s="79">
        <v>710</v>
      </c>
      <c r="AA34" s="79">
        <v>19991</v>
      </c>
      <c r="AB34" s="79">
        <v>7814</v>
      </c>
      <c r="AC34" s="79">
        <v>91</v>
      </c>
      <c r="AD34" s="79">
        <v>65946</v>
      </c>
      <c r="AE34" s="79">
        <v>205183</v>
      </c>
      <c r="AF34" s="79">
        <v>5121</v>
      </c>
      <c r="AG34" s="79">
        <v>48</v>
      </c>
      <c r="AH34" s="79">
        <v>6220</v>
      </c>
      <c r="AI34" s="79">
        <v>0</v>
      </c>
      <c r="AJ34" s="79">
        <v>38630</v>
      </c>
      <c r="AK34" s="79">
        <v>23691</v>
      </c>
      <c r="AL34" s="79">
        <v>0</v>
      </c>
      <c r="AM34" s="102">
        <v>737</v>
      </c>
      <c r="AN34" s="103">
        <v>497138</v>
      </c>
      <c r="AO34" s="79">
        <v>0</v>
      </c>
      <c r="AP34" s="79">
        <v>9186379</v>
      </c>
      <c r="AQ34" s="79">
        <v>17513968</v>
      </c>
      <c r="AR34" s="79">
        <v>2824952</v>
      </c>
      <c r="AS34" s="79">
        <v>14978399</v>
      </c>
      <c r="AT34" s="102">
        <v>0</v>
      </c>
      <c r="AU34" s="103">
        <v>44503698</v>
      </c>
      <c r="AV34" s="103">
        <v>45000836</v>
      </c>
      <c r="AW34" s="102">
        <v>727422</v>
      </c>
      <c r="AX34" s="103">
        <v>727422</v>
      </c>
      <c r="AY34" s="103">
        <v>45231120</v>
      </c>
      <c r="AZ34" s="103">
        <v>45728258</v>
      </c>
      <c r="BA34" s="79">
        <v>-2047744</v>
      </c>
      <c r="BB34" s="79">
        <v>0</v>
      </c>
      <c r="BC34" s="102">
        <v>0</v>
      </c>
      <c r="BD34" s="102">
        <v>-2047744</v>
      </c>
      <c r="BE34" s="103">
        <v>43183376</v>
      </c>
      <c r="BF34" s="103">
        <v>43680514</v>
      </c>
      <c r="BH34" s="101">
        <f t="shared" si="0"/>
        <v>0.95449542315169433</v>
      </c>
    </row>
    <row r="35" spans="1:60" x14ac:dyDescent="0.2">
      <c r="A35" s="92" t="s">
        <v>464</v>
      </c>
      <c r="B35" s="79" t="s">
        <v>465</v>
      </c>
      <c r="C35" s="92">
        <v>4941</v>
      </c>
      <c r="D35" s="79">
        <v>0</v>
      </c>
      <c r="E35" s="79">
        <v>0</v>
      </c>
      <c r="F35" s="79">
        <v>0</v>
      </c>
      <c r="G35" s="79">
        <v>37</v>
      </c>
      <c r="H35" s="79">
        <v>457</v>
      </c>
      <c r="I35" s="79">
        <v>0</v>
      </c>
      <c r="J35" s="79">
        <v>14</v>
      </c>
      <c r="K35" s="79">
        <v>0</v>
      </c>
      <c r="L35" s="79">
        <v>51</v>
      </c>
      <c r="M35" s="79">
        <v>0</v>
      </c>
      <c r="N35" s="79">
        <v>0</v>
      </c>
      <c r="O35" s="79">
        <v>0</v>
      </c>
      <c r="P35" s="79">
        <v>0</v>
      </c>
      <c r="Q35" s="79">
        <v>0</v>
      </c>
      <c r="R35" s="79">
        <v>0</v>
      </c>
      <c r="S35" s="79">
        <v>0</v>
      </c>
      <c r="T35" s="79">
        <v>0</v>
      </c>
      <c r="U35" s="79">
        <v>0</v>
      </c>
      <c r="V35" s="79">
        <v>113</v>
      </c>
      <c r="W35" s="79">
        <v>77</v>
      </c>
      <c r="X35" s="79">
        <v>672</v>
      </c>
      <c r="Y35" s="79">
        <v>1336</v>
      </c>
      <c r="Z35" s="79">
        <v>0</v>
      </c>
      <c r="AA35" s="79">
        <v>2479</v>
      </c>
      <c r="AB35" s="79">
        <v>5695</v>
      </c>
      <c r="AC35" s="79">
        <v>540</v>
      </c>
      <c r="AD35" s="79">
        <v>63021</v>
      </c>
      <c r="AE35" s="79">
        <v>28162</v>
      </c>
      <c r="AF35" s="79">
        <v>1097</v>
      </c>
      <c r="AG35" s="79">
        <v>1058</v>
      </c>
      <c r="AH35" s="79">
        <v>1069715</v>
      </c>
      <c r="AI35" s="79">
        <v>59</v>
      </c>
      <c r="AJ35" s="79">
        <v>3038</v>
      </c>
      <c r="AK35" s="79">
        <v>4333</v>
      </c>
      <c r="AL35" s="79">
        <v>0</v>
      </c>
      <c r="AM35" s="102">
        <v>11449</v>
      </c>
      <c r="AN35" s="103">
        <v>1198344</v>
      </c>
      <c r="AO35" s="79">
        <v>800958</v>
      </c>
      <c r="AP35" s="79">
        <v>15688565</v>
      </c>
      <c r="AQ35" s="79">
        <v>49902266</v>
      </c>
      <c r="AR35" s="79">
        <v>0</v>
      </c>
      <c r="AS35" s="79">
        <v>0</v>
      </c>
      <c r="AT35" s="102">
        <v>0</v>
      </c>
      <c r="AU35" s="103">
        <v>66391789</v>
      </c>
      <c r="AV35" s="103">
        <v>67590133</v>
      </c>
      <c r="AW35" s="102">
        <v>241</v>
      </c>
      <c r="AX35" s="103">
        <v>241</v>
      </c>
      <c r="AY35" s="103">
        <v>66392030</v>
      </c>
      <c r="AZ35" s="103">
        <v>67590374</v>
      </c>
      <c r="BA35" s="79">
        <v>-3569</v>
      </c>
      <c r="BB35" s="79">
        <v>0</v>
      </c>
      <c r="BC35" s="102">
        <v>0</v>
      </c>
      <c r="BD35" s="102">
        <v>-3569</v>
      </c>
      <c r="BE35" s="103">
        <v>66388461</v>
      </c>
      <c r="BF35" s="103">
        <v>67586805</v>
      </c>
      <c r="BH35" s="101">
        <f t="shared" si="0"/>
        <v>0.99994719643472219</v>
      </c>
    </row>
    <row r="36" spans="1:60" x14ac:dyDescent="0.2">
      <c r="A36" s="92" t="s">
        <v>466</v>
      </c>
      <c r="B36" s="79" t="s">
        <v>467</v>
      </c>
      <c r="C36" s="92">
        <v>14063</v>
      </c>
      <c r="D36" s="79">
        <v>2479</v>
      </c>
      <c r="E36" s="79">
        <v>35262</v>
      </c>
      <c r="F36" s="79">
        <v>2419</v>
      </c>
      <c r="G36" s="79">
        <v>12137</v>
      </c>
      <c r="H36" s="79">
        <v>48857</v>
      </c>
      <c r="I36" s="79">
        <v>2626</v>
      </c>
      <c r="J36" s="79">
        <v>8090</v>
      </c>
      <c r="K36" s="79">
        <v>5973</v>
      </c>
      <c r="L36" s="79">
        <v>18519</v>
      </c>
      <c r="M36" s="79">
        <v>3210</v>
      </c>
      <c r="N36" s="79">
        <v>9676</v>
      </c>
      <c r="O36" s="79">
        <v>22667</v>
      </c>
      <c r="P36" s="79">
        <v>29652</v>
      </c>
      <c r="Q36" s="79">
        <v>9978</v>
      </c>
      <c r="R36" s="79">
        <v>9565</v>
      </c>
      <c r="S36" s="79">
        <v>9913</v>
      </c>
      <c r="T36" s="79">
        <v>4312</v>
      </c>
      <c r="U36" s="79">
        <v>11919</v>
      </c>
      <c r="V36" s="79">
        <v>7933</v>
      </c>
      <c r="W36" s="79">
        <v>66712</v>
      </c>
      <c r="X36" s="79">
        <v>36602</v>
      </c>
      <c r="Y36" s="79">
        <v>41493</v>
      </c>
      <c r="Z36" s="79">
        <v>9458</v>
      </c>
      <c r="AA36" s="79">
        <v>54565</v>
      </c>
      <c r="AB36" s="79">
        <v>104541</v>
      </c>
      <c r="AC36" s="79">
        <v>26285</v>
      </c>
      <c r="AD36" s="79">
        <v>67908</v>
      </c>
      <c r="AE36" s="79">
        <v>64822</v>
      </c>
      <c r="AF36" s="79">
        <v>112</v>
      </c>
      <c r="AG36" s="79">
        <v>89032</v>
      </c>
      <c r="AH36" s="79">
        <v>66698</v>
      </c>
      <c r="AI36" s="79">
        <v>0</v>
      </c>
      <c r="AJ36" s="79">
        <v>150037</v>
      </c>
      <c r="AK36" s="79">
        <v>152245</v>
      </c>
      <c r="AL36" s="79">
        <v>0</v>
      </c>
      <c r="AM36" s="102">
        <v>22612</v>
      </c>
      <c r="AN36" s="103">
        <v>1222372</v>
      </c>
      <c r="AO36" s="79">
        <v>0</v>
      </c>
      <c r="AP36" s="79">
        <v>3303189</v>
      </c>
      <c r="AQ36" s="79">
        <v>0</v>
      </c>
      <c r="AR36" s="79">
        <v>0</v>
      </c>
      <c r="AS36" s="79">
        <v>0</v>
      </c>
      <c r="AT36" s="102">
        <v>0</v>
      </c>
      <c r="AU36" s="103">
        <v>3303189</v>
      </c>
      <c r="AV36" s="103">
        <v>4525561</v>
      </c>
      <c r="AW36" s="102">
        <v>34576</v>
      </c>
      <c r="AX36" s="103">
        <v>34576</v>
      </c>
      <c r="AY36" s="103">
        <v>3337765</v>
      </c>
      <c r="AZ36" s="103">
        <v>4560137</v>
      </c>
      <c r="BA36" s="79">
        <v>-128344</v>
      </c>
      <c r="BB36" s="79">
        <v>0</v>
      </c>
      <c r="BC36" s="102">
        <v>0</v>
      </c>
      <c r="BD36" s="102">
        <v>-128344</v>
      </c>
      <c r="BE36" s="103">
        <v>3209421</v>
      </c>
      <c r="BF36" s="103">
        <v>4431793</v>
      </c>
      <c r="BH36" s="101">
        <f t="shared" si="0"/>
        <v>0.97164020107120419</v>
      </c>
    </row>
    <row r="37" spans="1:60" x14ac:dyDescent="0.2">
      <c r="A37" s="92" t="s">
        <v>468</v>
      </c>
      <c r="B37" s="79" t="s">
        <v>385</v>
      </c>
      <c r="C37" s="92">
        <v>249280</v>
      </c>
      <c r="D37" s="79">
        <v>41823</v>
      </c>
      <c r="E37" s="79">
        <v>1303073</v>
      </c>
      <c r="F37" s="79">
        <v>118091</v>
      </c>
      <c r="G37" s="79">
        <v>264423</v>
      </c>
      <c r="H37" s="79">
        <v>1336171</v>
      </c>
      <c r="I37" s="79">
        <v>81314</v>
      </c>
      <c r="J37" s="79">
        <v>528515</v>
      </c>
      <c r="K37" s="79">
        <v>333347</v>
      </c>
      <c r="L37" s="79">
        <v>297666</v>
      </c>
      <c r="M37" s="79">
        <v>136404</v>
      </c>
      <c r="N37" s="79">
        <v>339077</v>
      </c>
      <c r="O37" s="79">
        <v>411847</v>
      </c>
      <c r="P37" s="79">
        <v>564648</v>
      </c>
      <c r="Q37" s="79">
        <v>230558</v>
      </c>
      <c r="R37" s="79">
        <v>608570</v>
      </c>
      <c r="S37" s="79">
        <v>623736</v>
      </c>
      <c r="T37" s="79">
        <v>195827</v>
      </c>
      <c r="U37" s="79">
        <v>1517951</v>
      </c>
      <c r="V37" s="79">
        <v>389443</v>
      </c>
      <c r="W37" s="79">
        <v>5640065</v>
      </c>
      <c r="X37" s="79">
        <v>1564693</v>
      </c>
      <c r="Y37" s="79">
        <v>609938</v>
      </c>
      <c r="Z37" s="79">
        <v>303202</v>
      </c>
      <c r="AA37" s="79">
        <v>8093330</v>
      </c>
      <c r="AB37" s="79">
        <v>4091741</v>
      </c>
      <c r="AC37" s="79">
        <v>2220562</v>
      </c>
      <c r="AD37" s="79">
        <v>6305214</v>
      </c>
      <c r="AE37" s="79">
        <v>8193758</v>
      </c>
      <c r="AF37" s="79">
        <v>3632979</v>
      </c>
      <c r="AG37" s="79">
        <v>3079620</v>
      </c>
      <c r="AH37" s="79">
        <v>3167426</v>
      </c>
      <c r="AI37" s="79">
        <v>343425</v>
      </c>
      <c r="AJ37" s="79">
        <v>10316786</v>
      </c>
      <c r="AK37" s="79">
        <v>1986660</v>
      </c>
      <c r="AL37" s="79">
        <v>0</v>
      </c>
      <c r="AM37" s="102">
        <v>187375</v>
      </c>
      <c r="AN37" s="103">
        <v>69308538</v>
      </c>
      <c r="AO37" s="79">
        <v>80519</v>
      </c>
      <c r="AP37" s="79">
        <v>4069005</v>
      </c>
      <c r="AQ37" s="79">
        <v>0</v>
      </c>
      <c r="AR37" s="79">
        <v>175812</v>
      </c>
      <c r="AS37" s="79">
        <v>1813253</v>
      </c>
      <c r="AT37" s="102">
        <v>0</v>
      </c>
      <c r="AU37" s="103">
        <v>6138589</v>
      </c>
      <c r="AV37" s="103">
        <v>75447127</v>
      </c>
      <c r="AW37" s="102">
        <v>3124773</v>
      </c>
      <c r="AX37" s="103">
        <v>3124773</v>
      </c>
      <c r="AY37" s="103">
        <v>9263362</v>
      </c>
      <c r="AZ37" s="103">
        <v>78571900</v>
      </c>
      <c r="BA37" s="79">
        <v>-3783295</v>
      </c>
      <c r="BB37" s="79">
        <v>0</v>
      </c>
      <c r="BC37" s="102">
        <v>0</v>
      </c>
      <c r="BD37" s="102">
        <v>-3783295</v>
      </c>
      <c r="BE37" s="103">
        <v>5480067</v>
      </c>
      <c r="BF37" s="103">
        <v>74788605</v>
      </c>
      <c r="BH37" s="101">
        <f t="shared" si="0"/>
        <v>0.94985501568535535</v>
      </c>
    </row>
    <row r="38" spans="1:60" x14ac:dyDescent="0.2">
      <c r="A38" s="92" t="s">
        <v>469</v>
      </c>
      <c r="B38" s="79" t="s">
        <v>386</v>
      </c>
      <c r="C38" s="92">
        <v>2832</v>
      </c>
      <c r="D38" s="79">
        <v>156</v>
      </c>
      <c r="E38" s="79">
        <v>6414</v>
      </c>
      <c r="F38" s="79">
        <v>582</v>
      </c>
      <c r="G38" s="79">
        <v>1127</v>
      </c>
      <c r="H38" s="79">
        <v>2854</v>
      </c>
      <c r="I38" s="79">
        <v>286</v>
      </c>
      <c r="J38" s="79">
        <v>1242</v>
      </c>
      <c r="K38" s="79">
        <v>462</v>
      </c>
      <c r="L38" s="79">
        <v>1676</v>
      </c>
      <c r="M38" s="79">
        <v>805</v>
      </c>
      <c r="N38" s="79">
        <v>1101</v>
      </c>
      <c r="O38" s="79">
        <v>1241</v>
      </c>
      <c r="P38" s="79">
        <v>2245</v>
      </c>
      <c r="Q38" s="79">
        <v>749</v>
      </c>
      <c r="R38" s="79">
        <v>2282</v>
      </c>
      <c r="S38" s="79">
        <v>2029</v>
      </c>
      <c r="T38" s="79">
        <v>698</v>
      </c>
      <c r="U38" s="79">
        <v>5426</v>
      </c>
      <c r="V38" s="79">
        <v>4336</v>
      </c>
      <c r="W38" s="79">
        <v>15595</v>
      </c>
      <c r="X38" s="79">
        <v>1978</v>
      </c>
      <c r="Y38" s="79">
        <v>1253</v>
      </c>
      <c r="Z38" s="79">
        <v>242</v>
      </c>
      <c r="AA38" s="79">
        <v>80441</v>
      </c>
      <c r="AB38" s="79">
        <v>7039</v>
      </c>
      <c r="AC38" s="79">
        <v>41730</v>
      </c>
      <c r="AD38" s="79">
        <v>37175</v>
      </c>
      <c r="AE38" s="79">
        <v>521245</v>
      </c>
      <c r="AF38" s="79">
        <v>19362</v>
      </c>
      <c r="AG38" s="79">
        <v>129214</v>
      </c>
      <c r="AH38" s="79">
        <v>827991</v>
      </c>
      <c r="AI38" s="79">
        <v>11467</v>
      </c>
      <c r="AJ38" s="79">
        <v>107367</v>
      </c>
      <c r="AK38" s="79">
        <v>865214</v>
      </c>
      <c r="AL38" s="79">
        <v>0</v>
      </c>
      <c r="AM38" s="102">
        <v>7812</v>
      </c>
      <c r="AN38" s="103">
        <v>2713668</v>
      </c>
      <c r="AO38" s="79">
        <v>10202054</v>
      </c>
      <c r="AP38" s="79">
        <v>41682589</v>
      </c>
      <c r="AQ38" s="79">
        <v>0</v>
      </c>
      <c r="AR38" s="79">
        <v>0</v>
      </c>
      <c r="AS38" s="79">
        <v>0</v>
      </c>
      <c r="AT38" s="102">
        <v>0</v>
      </c>
      <c r="AU38" s="103">
        <v>51884643</v>
      </c>
      <c r="AV38" s="103">
        <v>54598311</v>
      </c>
      <c r="AW38" s="102">
        <v>1482962</v>
      </c>
      <c r="AX38" s="103">
        <v>1482962</v>
      </c>
      <c r="AY38" s="103">
        <v>53367605</v>
      </c>
      <c r="AZ38" s="103">
        <v>56081273</v>
      </c>
      <c r="BA38" s="79">
        <v>-1274527</v>
      </c>
      <c r="BB38" s="79">
        <v>0</v>
      </c>
      <c r="BC38" s="102">
        <v>-657</v>
      </c>
      <c r="BD38" s="102">
        <v>-1275184</v>
      </c>
      <c r="BE38" s="103">
        <v>52092421</v>
      </c>
      <c r="BF38" s="103">
        <v>54806089</v>
      </c>
      <c r="BH38" s="101">
        <f t="shared" si="0"/>
        <v>0.97664425919695574</v>
      </c>
    </row>
    <row r="39" spans="1:60" x14ac:dyDescent="0.2">
      <c r="A39" s="92" t="s">
        <v>470</v>
      </c>
      <c r="B39" s="79" t="s">
        <v>471</v>
      </c>
      <c r="C39" s="92">
        <v>9661</v>
      </c>
      <c r="D39" s="79">
        <v>684</v>
      </c>
      <c r="E39" s="79">
        <v>24274</v>
      </c>
      <c r="F39" s="79">
        <v>4088</v>
      </c>
      <c r="G39" s="79">
        <v>9185</v>
      </c>
      <c r="H39" s="79">
        <v>13876</v>
      </c>
      <c r="I39" s="79">
        <v>397</v>
      </c>
      <c r="J39" s="79">
        <v>2403</v>
      </c>
      <c r="K39" s="79">
        <v>7287</v>
      </c>
      <c r="L39" s="79">
        <v>4248</v>
      </c>
      <c r="M39" s="79">
        <v>3106</v>
      </c>
      <c r="N39" s="79">
        <v>4817</v>
      </c>
      <c r="O39" s="79">
        <v>8759</v>
      </c>
      <c r="P39" s="79">
        <v>16079</v>
      </c>
      <c r="Q39" s="79">
        <v>5459</v>
      </c>
      <c r="R39" s="79">
        <v>10989</v>
      </c>
      <c r="S39" s="79">
        <v>13941</v>
      </c>
      <c r="T39" s="79">
        <v>4742</v>
      </c>
      <c r="U39" s="79">
        <v>18499</v>
      </c>
      <c r="V39" s="79">
        <v>11305</v>
      </c>
      <c r="W39" s="79">
        <v>53640</v>
      </c>
      <c r="X39" s="79">
        <v>1107</v>
      </c>
      <c r="Y39" s="79">
        <v>4169</v>
      </c>
      <c r="Z39" s="79">
        <v>15937</v>
      </c>
      <c r="AA39" s="79">
        <v>195970</v>
      </c>
      <c r="AB39" s="79">
        <v>128397</v>
      </c>
      <c r="AC39" s="79">
        <v>26226</v>
      </c>
      <c r="AD39" s="79">
        <v>99980</v>
      </c>
      <c r="AE39" s="79">
        <v>90815</v>
      </c>
      <c r="AF39" s="79">
        <v>113716</v>
      </c>
      <c r="AG39" s="79">
        <v>164800</v>
      </c>
      <c r="AH39" s="79">
        <v>157580</v>
      </c>
      <c r="AI39" s="79">
        <v>22294</v>
      </c>
      <c r="AJ39" s="79">
        <v>114688</v>
      </c>
      <c r="AK39" s="79">
        <v>99326</v>
      </c>
      <c r="AL39" s="79">
        <v>0</v>
      </c>
      <c r="AM39" s="102">
        <v>959</v>
      </c>
      <c r="AN39" s="103">
        <v>1463403</v>
      </c>
      <c r="AO39" s="79">
        <v>0</v>
      </c>
      <c r="AP39" s="79">
        <v>0</v>
      </c>
      <c r="AQ39" s="79">
        <v>0</v>
      </c>
      <c r="AR39" s="79">
        <v>0</v>
      </c>
      <c r="AS39" s="79">
        <v>0</v>
      </c>
      <c r="AT39" s="102">
        <v>0</v>
      </c>
      <c r="AU39" s="103">
        <v>0</v>
      </c>
      <c r="AV39" s="103">
        <v>1463403</v>
      </c>
      <c r="AW39" s="102">
        <v>0</v>
      </c>
      <c r="AX39" s="103">
        <v>0</v>
      </c>
      <c r="AY39" s="103">
        <v>0</v>
      </c>
      <c r="AZ39" s="103">
        <v>1463403</v>
      </c>
      <c r="BA39" s="79">
        <v>0</v>
      </c>
      <c r="BB39" s="79">
        <v>0</v>
      </c>
      <c r="BC39" s="102">
        <v>0</v>
      </c>
      <c r="BD39" s="102">
        <v>0</v>
      </c>
      <c r="BE39" s="103">
        <v>0</v>
      </c>
      <c r="BF39" s="103">
        <v>1463403</v>
      </c>
      <c r="BH39" s="101">
        <f t="shared" si="0"/>
        <v>1</v>
      </c>
    </row>
    <row r="40" spans="1:60" x14ac:dyDescent="0.2">
      <c r="A40" s="92" t="s">
        <v>472</v>
      </c>
      <c r="B40" s="79" t="s">
        <v>387</v>
      </c>
      <c r="C40" s="92">
        <v>50609</v>
      </c>
      <c r="D40" s="79">
        <v>10384</v>
      </c>
      <c r="E40" s="79">
        <v>229354</v>
      </c>
      <c r="F40" s="79">
        <v>9558</v>
      </c>
      <c r="G40" s="79">
        <v>35773</v>
      </c>
      <c r="H40" s="79">
        <v>39388</v>
      </c>
      <c r="I40" s="79">
        <v>5900</v>
      </c>
      <c r="J40" s="79">
        <v>30644</v>
      </c>
      <c r="K40" s="79">
        <v>48890</v>
      </c>
      <c r="L40" s="79">
        <v>95099</v>
      </c>
      <c r="M40" s="79">
        <v>43411</v>
      </c>
      <c r="N40" s="79">
        <v>44088</v>
      </c>
      <c r="O40" s="79">
        <v>75832</v>
      </c>
      <c r="P40" s="79">
        <v>96323</v>
      </c>
      <c r="Q40" s="79">
        <v>17260</v>
      </c>
      <c r="R40" s="79">
        <v>9535</v>
      </c>
      <c r="S40" s="79">
        <v>37880</v>
      </c>
      <c r="T40" s="79">
        <v>7314</v>
      </c>
      <c r="U40" s="79">
        <v>90553</v>
      </c>
      <c r="V40" s="79">
        <v>19646</v>
      </c>
      <c r="W40" s="79">
        <v>848712</v>
      </c>
      <c r="X40" s="79">
        <v>69919</v>
      </c>
      <c r="Y40" s="79">
        <v>40855</v>
      </c>
      <c r="Z40" s="79">
        <v>103640</v>
      </c>
      <c r="AA40" s="79">
        <v>649760</v>
      </c>
      <c r="AB40" s="79">
        <v>165379</v>
      </c>
      <c r="AC40" s="79">
        <v>139993</v>
      </c>
      <c r="AD40" s="79">
        <v>454627</v>
      </c>
      <c r="AE40" s="79">
        <v>132230</v>
      </c>
      <c r="AF40" s="79">
        <v>37193</v>
      </c>
      <c r="AG40" s="79">
        <v>423508</v>
      </c>
      <c r="AH40" s="79">
        <v>263930</v>
      </c>
      <c r="AI40" s="79">
        <v>20365</v>
      </c>
      <c r="AJ40" s="79">
        <v>228061</v>
      </c>
      <c r="AK40" s="79">
        <v>151955</v>
      </c>
      <c r="AL40" s="79">
        <v>730</v>
      </c>
      <c r="AM40" s="102">
        <v>0</v>
      </c>
      <c r="AN40" s="103">
        <v>4728298</v>
      </c>
      <c r="AO40" s="79">
        <v>0</v>
      </c>
      <c r="AP40" s="79">
        <v>10043</v>
      </c>
      <c r="AQ40" s="79">
        <v>0</v>
      </c>
      <c r="AR40" s="79">
        <v>0</v>
      </c>
      <c r="AS40" s="79">
        <v>0</v>
      </c>
      <c r="AT40" s="102">
        <v>0</v>
      </c>
      <c r="AU40" s="103">
        <v>10043</v>
      </c>
      <c r="AV40" s="103">
        <v>4738341</v>
      </c>
      <c r="AW40" s="102">
        <v>5295</v>
      </c>
      <c r="AX40" s="103">
        <v>5295</v>
      </c>
      <c r="AY40" s="103">
        <v>15338</v>
      </c>
      <c r="AZ40" s="103">
        <v>4743636</v>
      </c>
      <c r="BA40" s="79">
        <v>-50648</v>
      </c>
      <c r="BB40" s="79">
        <v>0</v>
      </c>
      <c r="BC40" s="102">
        <v>0</v>
      </c>
      <c r="BD40" s="102">
        <v>-50648</v>
      </c>
      <c r="BE40" s="103">
        <v>-35310</v>
      </c>
      <c r="BF40" s="103">
        <v>4692988</v>
      </c>
      <c r="BH40" s="101">
        <f t="shared" si="0"/>
        <v>0.98931102679186655</v>
      </c>
    </row>
    <row r="41" spans="1:60" x14ac:dyDescent="0.2">
      <c r="A41" s="80" t="s">
        <v>501</v>
      </c>
      <c r="B41" s="81" t="s">
        <v>520</v>
      </c>
      <c r="C41" s="80">
        <v>6745524</v>
      </c>
      <c r="D41" s="81">
        <v>406877</v>
      </c>
      <c r="E41" s="81">
        <v>24091329</v>
      </c>
      <c r="F41" s="81">
        <v>2141704</v>
      </c>
      <c r="G41" s="81">
        <v>7690329</v>
      </c>
      <c r="H41" s="81">
        <v>18632608</v>
      </c>
      <c r="I41" s="81">
        <v>11766749</v>
      </c>
      <c r="J41" s="81">
        <v>8641701</v>
      </c>
      <c r="K41" s="81">
        <v>3247540</v>
      </c>
      <c r="L41" s="81">
        <v>20125255</v>
      </c>
      <c r="M41" s="81">
        <v>6642575</v>
      </c>
      <c r="N41" s="81">
        <v>6470673</v>
      </c>
      <c r="O41" s="81">
        <v>5838169</v>
      </c>
      <c r="P41" s="81">
        <v>8984331</v>
      </c>
      <c r="Q41" s="81">
        <v>4038619</v>
      </c>
      <c r="R41" s="81">
        <v>8434216</v>
      </c>
      <c r="S41" s="81">
        <v>10237513</v>
      </c>
      <c r="T41" s="81">
        <v>3529645</v>
      </c>
      <c r="U41" s="81">
        <v>41950614</v>
      </c>
      <c r="V41" s="81">
        <v>5312527</v>
      </c>
      <c r="W41" s="81">
        <v>32331517</v>
      </c>
      <c r="X41" s="81">
        <v>15817517</v>
      </c>
      <c r="Y41" s="81">
        <v>2277193</v>
      </c>
      <c r="Z41" s="81">
        <v>1658125</v>
      </c>
      <c r="AA41" s="81">
        <v>28751025</v>
      </c>
      <c r="AB41" s="81">
        <v>11506174</v>
      </c>
      <c r="AC41" s="81">
        <v>12835606</v>
      </c>
      <c r="AD41" s="81">
        <v>26668344</v>
      </c>
      <c r="AE41" s="81">
        <v>24170730</v>
      </c>
      <c r="AF41" s="81">
        <v>11591974</v>
      </c>
      <c r="AG41" s="81">
        <v>11721215</v>
      </c>
      <c r="AH41" s="81">
        <v>25663137</v>
      </c>
      <c r="AI41" s="81">
        <v>1770985</v>
      </c>
      <c r="AJ41" s="81">
        <v>28016958</v>
      </c>
      <c r="AK41" s="81">
        <v>25646651</v>
      </c>
      <c r="AL41" s="81">
        <v>1463403</v>
      </c>
      <c r="AM41" s="82">
        <v>2760622</v>
      </c>
      <c r="AN41" s="83">
        <v>469579674</v>
      </c>
      <c r="AO41" s="81">
        <v>15055500</v>
      </c>
      <c r="AP41" s="81">
        <v>305616414</v>
      </c>
      <c r="AQ41" s="81">
        <v>105529331</v>
      </c>
      <c r="AR41" s="81">
        <v>28141456</v>
      </c>
      <c r="AS41" s="81">
        <v>108791468</v>
      </c>
      <c r="AT41" s="95">
        <v>503254</v>
      </c>
      <c r="AU41" s="83">
        <v>563637423</v>
      </c>
      <c r="AV41" s="83">
        <v>1033217097</v>
      </c>
      <c r="AW41" s="82">
        <v>86769418</v>
      </c>
      <c r="AX41" s="83">
        <v>86769418</v>
      </c>
      <c r="AY41" s="83">
        <v>650406841</v>
      </c>
      <c r="AZ41" s="83">
        <v>1119986515</v>
      </c>
      <c r="BA41" s="81">
        <v>-93036242</v>
      </c>
      <c r="BB41" s="81">
        <v>-1042351</v>
      </c>
      <c r="BC41" s="82">
        <v>-8089534</v>
      </c>
      <c r="BD41" s="82">
        <v>-102168127</v>
      </c>
      <c r="BE41" s="83">
        <v>548238714</v>
      </c>
      <c r="BF41" s="83">
        <v>1017818388</v>
      </c>
      <c r="BH41" s="101">
        <f t="shared" si="0"/>
        <v>0.90111649594586607</v>
      </c>
    </row>
    <row r="42" spans="1:60" x14ac:dyDescent="0.2">
      <c r="A42" s="80" t="s">
        <v>502</v>
      </c>
      <c r="B42" s="82" t="s">
        <v>539</v>
      </c>
      <c r="C42" s="80">
        <v>81621</v>
      </c>
      <c r="D42" s="81">
        <v>37190</v>
      </c>
      <c r="E42" s="81">
        <v>342574</v>
      </c>
      <c r="F42" s="81">
        <v>44537</v>
      </c>
      <c r="G42" s="81">
        <v>203189</v>
      </c>
      <c r="H42" s="81">
        <v>368377</v>
      </c>
      <c r="I42" s="81">
        <v>56522</v>
      </c>
      <c r="J42" s="81">
        <v>246192</v>
      </c>
      <c r="K42" s="81">
        <v>105475</v>
      </c>
      <c r="L42" s="81">
        <v>231180</v>
      </c>
      <c r="M42" s="81">
        <v>95376</v>
      </c>
      <c r="N42" s="81">
        <v>182857</v>
      </c>
      <c r="O42" s="81">
        <v>169623</v>
      </c>
      <c r="P42" s="81">
        <v>265910</v>
      </c>
      <c r="Q42" s="81">
        <v>129403</v>
      </c>
      <c r="R42" s="81">
        <v>211615</v>
      </c>
      <c r="S42" s="81">
        <v>253068</v>
      </c>
      <c r="T42" s="81">
        <v>101923</v>
      </c>
      <c r="U42" s="81">
        <v>458348</v>
      </c>
      <c r="V42" s="81">
        <v>187712</v>
      </c>
      <c r="W42" s="81">
        <v>1245000</v>
      </c>
      <c r="X42" s="81">
        <v>244536</v>
      </c>
      <c r="Y42" s="81">
        <v>64313</v>
      </c>
      <c r="Z42" s="81">
        <v>120444</v>
      </c>
      <c r="AA42" s="81">
        <v>2284242</v>
      </c>
      <c r="AB42" s="81">
        <v>1073243</v>
      </c>
      <c r="AC42" s="81">
        <v>313301</v>
      </c>
      <c r="AD42" s="81">
        <v>900015</v>
      </c>
      <c r="AE42" s="81">
        <v>930419</v>
      </c>
      <c r="AF42" s="81">
        <v>434274</v>
      </c>
      <c r="AG42" s="81">
        <v>427528</v>
      </c>
      <c r="AH42" s="81">
        <v>747403</v>
      </c>
      <c r="AI42" s="81">
        <v>164900</v>
      </c>
      <c r="AJ42" s="81">
        <v>1146548</v>
      </c>
      <c r="AK42" s="81">
        <v>1167082</v>
      </c>
      <c r="AL42" s="81">
        <v>0</v>
      </c>
      <c r="AM42" s="82">
        <v>19560</v>
      </c>
      <c r="AN42" s="83">
        <v>15055500</v>
      </c>
      <c r="AO42" s="81"/>
      <c r="AP42" s="81"/>
      <c r="AQ42" s="81"/>
      <c r="AR42" s="81"/>
      <c r="AS42" s="81"/>
      <c r="AT42" s="81"/>
      <c r="AU42" s="81"/>
      <c r="AV42" s="81"/>
      <c r="AW42" s="81"/>
      <c r="AX42" s="81"/>
      <c r="AY42" s="81"/>
      <c r="AZ42" s="81"/>
      <c r="BA42" s="81"/>
      <c r="BB42" s="81"/>
      <c r="BC42" s="81"/>
      <c r="BD42" s="81"/>
      <c r="BE42" s="81"/>
      <c r="BF42" s="81"/>
    </row>
    <row r="43" spans="1:60" x14ac:dyDescent="0.2">
      <c r="A43" s="92" t="s">
        <v>540</v>
      </c>
      <c r="B43" s="102" t="s">
        <v>541</v>
      </c>
      <c r="C43" s="92">
        <v>1493931</v>
      </c>
      <c r="D43" s="79">
        <v>174033</v>
      </c>
      <c r="E43" s="79">
        <v>5021160</v>
      </c>
      <c r="F43" s="79">
        <v>910077</v>
      </c>
      <c r="G43" s="79">
        <v>1982618</v>
      </c>
      <c r="H43" s="79">
        <v>2497344</v>
      </c>
      <c r="I43" s="79">
        <v>195483</v>
      </c>
      <c r="J43" s="79">
        <v>3150535</v>
      </c>
      <c r="K43" s="79">
        <v>1415936</v>
      </c>
      <c r="L43" s="79">
        <v>1640506</v>
      </c>
      <c r="M43" s="79">
        <v>888569</v>
      </c>
      <c r="N43" s="79">
        <v>3368420</v>
      </c>
      <c r="O43" s="79">
        <v>2396366</v>
      </c>
      <c r="P43" s="79">
        <v>3986639</v>
      </c>
      <c r="Q43" s="79">
        <v>1394260</v>
      </c>
      <c r="R43" s="79">
        <v>2756621</v>
      </c>
      <c r="S43" s="79">
        <v>3109132</v>
      </c>
      <c r="T43" s="79">
        <v>1044323</v>
      </c>
      <c r="U43" s="79">
        <v>7115414</v>
      </c>
      <c r="V43" s="79">
        <v>2545065</v>
      </c>
      <c r="W43" s="79">
        <v>21261542</v>
      </c>
      <c r="X43" s="79">
        <v>1938574</v>
      </c>
      <c r="Y43" s="79">
        <v>652458</v>
      </c>
      <c r="Z43" s="79">
        <v>2354221</v>
      </c>
      <c r="AA43" s="79">
        <v>37218350</v>
      </c>
      <c r="AB43" s="79">
        <v>11062022</v>
      </c>
      <c r="AC43" s="79">
        <v>4671805</v>
      </c>
      <c r="AD43" s="79">
        <v>15584730</v>
      </c>
      <c r="AE43" s="79">
        <v>10500244</v>
      </c>
      <c r="AF43" s="79">
        <v>14323697</v>
      </c>
      <c r="AG43" s="79">
        <v>22193731</v>
      </c>
      <c r="AH43" s="79">
        <v>34180364</v>
      </c>
      <c r="AI43" s="79">
        <v>2201284</v>
      </c>
      <c r="AJ43" s="79">
        <v>25744085</v>
      </c>
      <c r="AK43" s="79">
        <v>14766246</v>
      </c>
      <c r="AL43" s="79">
        <v>0</v>
      </c>
      <c r="AM43" s="102">
        <v>59433</v>
      </c>
      <c r="AN43" s="103">
        <v>265799218</v>
      </c>
    </row>
    <row r="44" spans="1:60" x14ac:dyDescent="0.2">
      <c r="A44" s="92" t="s">
        <v>542</v>
      </c>
      <c r="B44" s="102" t="s">
        <v>543</v>
      </c>
      <c r="C44" s="92">
        <v>2810764</v>
      </c>
      <c r="D44" s="79">
        <v>77159</v>
      </c>
      <c r="E44" s="79">
        <v>3614827</v>
      </c>
      <c r="F44" s="79">
        <v>-116602</v>
      </c>
      <c r="G44" s="79">
        <v>974590</v>
      </c>
      <c r="H44" s="79">
        <v>1791892</v>
      </c>
      <c r="I44" s="79">
        <v>691733</v>
      </c>
      <c r="J44" s="79">
        <v>45230</v>
      </c>
      <c r="K44" s="79">
        <v>637194</v>
      </c>
      <c r="L44" s="79">
        <v>3420045</v>
      </c>
      <c r="M44" s="79">
        <v>626890</v>
      </c>
      <c r="N44" s="79">
        <v>378130</v>
      </c>
      <c r="O44" s="79">
        <v>928139</v>
      </c>
      <c r="P44" s="79">
        <v>1592368</v>
      </c>
      <c r="Q44" s="79">
        <v>228819</v>
      </c>
      <c r="R44" s="79">
        <v>-654142</v>
      </c>
      <c r="S44" s="79">
        <v>-276956</v>
      </c>
      <c r="T44" s="79">
        <v>-327366</v>
      </c>
      <c r="U44" s="79">
        <v>790073</v>
      </c>
      <c r="V44" s="79">
        <v>573131</v>
      </c>
      <c r="W44" s="79">
        <v>1706690</v>
      </c>
      <c r="X44" s="79">
        <v>703991</v>
      </c>
      <c r="Y44" s="79">
        <v>598643</v>
      </c>
      <c r="Z44" s="79">
        <v>281118</v>
      </c>
      <c r="AA44" s="79">
        <v>14811175</v>
      </c>
      <c r="AB44" s="79">
        <v>8985785</v>
      </c>
      <c r="AC44" s="79">
        <v>31773515</v>
      </c>
      <c r="AD44" s="79">
        <v>3207488</v>
      </c>
      <c r="AE44" s="79">
        <v>7226210</v>
      </c>
      <c r="AF44" s="79">
        <v>0</v>
      </c>
      <c r="AG44" s="79">
        <v>785097</v>
      </c>
      <c r="AH44" s="79">
        <v>2440063</v>
      </c>
      <c r="AI44" s="79">
        <v>-30808</v>
      </c>
      <c r="AJ44" s="79">
        <v>6903490</v>
      </c>
      <c r="AK44" s="79">
        <v>5142128</v>
      </c>
      <c r="AL44" s="79">
        <v>0</v>
      </c>
      <c r="AM44" s="102">
        <v>1564821</v>
      </c>
      <c r="AN44" s="103">
        <v>103905324</v>
      </c>
    </row>
    <row r="45" spans="1:60" x14ac:dyDescent="0.2">
      <c r="A45" s="92" t="s">
        <v>544</v>
      </c>
      <c r="B45" s="102" t="s">
        <v>545</v>
      </c>
      <c r="C45" s="92">
        <v>1997177</v>
      </c>
      <c r="D45" s="79">
        <v>93280</v>
      </c>
      <c r="E45" s="79">
        <v>1985337</v>
      </c>
      <c r="F45" s="79">
        <v>441852</v>
      </c>
      <c r="G45" s="79">
        <v>805797</v>
      </c>
      <c r="H45" s="79">
        <v>4142051</v>
      </c>
      <c r="I45" s="79">
        <v>464116</v>
      </c>
      <c r="J45" s="79">
        <v>1411817</v>
      </c>
      <c r="K45" s="79">
        <v>707662</v>
      </c>
      <c r="L45" s="79">
        <v>1489436</v>
      </c>
      <c r="M45" s="79">
        <v>487745</v>
      </c>
      <c r="N45" s="79">
        <v>997703</v>
      </c>
      <c r="O45" s="79">
        <v>1041665</v>
      </c>
      <c r="P45" s="79">
        <v>1743589</v>
      </c>
      <c r="Q45" s="79">
        <v>1020380</v>
      </c>
      <c r="R45" s="79">
        <v>2651799</v>
      </c>
      <c r="S45" s="79">
        <v>2656882</v>
      </c>
      <c r="T45" s="79">
        <v>1034743</v>
      </c>
      <c r="U45" s="79">
        <v>5145607</v>
      </c>
      <c r="V45" s="79">
        <v>1024384</v>
      </c>
      <c r="W45" s="79">
        <v>2336988</v>
      </c>
      <c r="X45" s="79">
        <v>5108260</v>
      </c>
      <c r="Y45" s="79">
        <v>975693</v>
      </c>
      <c r="Z45" s="79">
        <v>394465</v>
      </c>
      <c r="AA45" s="79">
        <v>8486201</v>
      </c>
      <c r="AB45" s="79">
        <v>2600383</v>
      </c>
      <c r="AC45" s="79">
        <v>27160967</v>
      </c>
      <c r="AD45" s="79">
        <v>6343117</v>
      </c>
      <c r="AE45" s="79">
        <v>5525133</v>
      </c>
      <c r="AF45" s="79">
        <v>13315220</v>
      </c>
      <c r="AG45" s="79">
        <v>8077850</v>
      </c>
      <c r="AH45" s="79">
        <v>4335297</v>
      </c>
      <c r="AI45" s="79">
        <v>273098</v>
      </c>
      <c r="AJ45" s="79">
        <v>9389750</v>
      </c>
      <c r="AK45" s="79">
        <v>5175531</v>
      </c>
      <c r="AL45" s="79">
        <v>0</v>
      </c>
      <c r="AM45" s="102">
        <v>230144</v>
      </c>
      <c r="AN45" s="103">
        <v>131071119</v>
      </c>
    </row>
    <row r="46" spans="1:60" x14ac:dyDescent="0.2">
      <c r="A46" s="92" t="s">
        <v>546</v>
      </c>
      <c r="B46" s="102" t="s">
        <v>547</v>
      </c>
      <c r="C46" s="92">
        <v>513516</v>
      </c>
      <c r="D46" s="79">
        <v>59637</v>
      </c>
      <c r="E46" s="79">
        <v>3418929</v>
      </c>
      <c r="F46" s="79">
        <v>164475</v>
      </c>
      <c r="G46" s="79">
        <v>297195</v>
      </c>
      <c r="H46" s="79">
        <v>574733</v>
      </c>
      <c r="I46" s="79">
        <v>3722751</v>
      </c>
      <c r="J46" s="79">
        <v>502575</v>
      </c>
      <c r="K46" s="79">
        <v>196849</v>
      </c>
      <c r="L46" s="79">
        <v>436376</v>
      </c>
      <c r="M46" s="79">
        <v>65509</v>
      </c>
      <c r="N46" s="79">
        <v>339252</v>
      </c>
      <c r="O46" s="79">
        <v>84648</v>
      </c>
      <c r="P46" s="79">
        <v>132175</v>
      </c>
      <c r="Q46" s="79">
        <v>91857</v>
      </c>
      <c r="R46" s="79">
        <v>136055</v>
      </c>
      <c r="S46" s="79">
        <v>83140</v>
      </c>
      <c r="T46" s="79">
        <v>73225</v>
      </c>
      <c r="U46" s="79">
        <v>-82013</v>
      </c>
      <c r="V46" s="79">
        <v>286601</v>
      </c>
      <c r="W46" s="79">
        <v>2246829</v>
      </c>
      <c r="X46" s="79">
        <v>828744</v>
      </c>
      <c r="Y46" s="79">
        <v>202815</v>
      </c>
      <c r="Z46" s="79">
        <v>93628</v>
      </c>
      <c r="AA46" s="79">
        <v>3974876</v>
      </c>
      <c r="AB46" s="79">
        <v>746737</v>
      </c>
      <c r="AC46" s="79">
        <v>3986729</v>
      </c>
      <c r="AD46" s="79">
        <v>2454817</v>
      </c>
      <c r="AE46" s="79">
        <v>1622477</v>
      </c>
      <c r="AF46" s="79">
        <v>73870</v>
      </c>
      <c r="AG46" s="79">
        <v>617933</v>
      </c>
      <c r="AH46" s="79">
        <v>986028</v>
      </c>
      <c r="AI46" s="79">
        <v>152621</v>
      </c>
      <c r="AJ46" s="79">
        <v>3591433</v>
      </c>
      <c r="AK46" s="79">
        <v>2908799</v>
      </c>
      <c r="AL46" s="79">
        <v>0</v>
      </c>
      <c r="AM46" s="102">
        <v>82141</v>
      </c>
      <c r="AN46" s="103">
        <v>35667962</v>
      </c>
    </row>
    <row r="47" spans="1:60" x14ac:dyDescent="0.2">
      <c r="A47" s="84" t="s">
        <v>548</v>
      </c>
      <c r="B47" s="86" t="s">
        <v>549</v>
      </c>
      <c r="C47" s="84">
        <v>-754911</v>
      </c>
      <c r="D47" s="85">
        <v>-261</v>
      </c>
      <c r="E47" s="85">
        <v>-133507</v>
      </c>
      <c r="F47" s="85">
        <v>-43</v>
      </c>
      <c r="G47" s="85">
        <v>-89</v>
      </c>
      <c r="H47" s="85">
        <v>-73</v>
      </c>
      <c r="I47" s="85">
        <v>-62742</v>
      </c>
      <c r="J47" s="85">
        <v>-63</v>
      </c>
      <c r="K47" s="85">
        <v>-38</v>
      </c>
      <c r="L47" s="85">
        <v>-76</v>
      </c>
      <c r="M47" s="85">
        <v>-29</v>
      </c>
      <c r="N47" s="85">
        <v>-86</v>
      </c>
      <c r="O47" s="85">
        <v>-52</v>
      </c>
      <c r="P47" s="85">
        <v>-89</v>
      </c>
      <c r="Q47" s="85">
        <v>-38</v>
      </c>
      <c r="R47" s="85">
        <v>-80</v>
      </c>
      <c r="S47" s="85">
        <v>-69</v>
      </c>
      <c r="T47" s="85">
        <v>-33</v>
      </c>
      <c r="U47" s="85">
        <v>-330</v>
      </c>
      <c r="V47" s="85">
        <v>-107</v>
      </c>
      <c r="W47" s="85">
        <v>-291997</v>
      </c>
      <c r="X47" s="85">
        <v>-7913</v>
      </c>
      <c r="Y47" s="85">
        <v>-225525</v>
      </c>
      <c r="Z47" s="85">
        <v>-21</v>
      </c>
      <c r="AA47" s="85">
        <v>-46988</v>
      </c>
      <c r="AB47" s="85">
        <v>-526120</v>
      </c>
      <c r="AC47" s="85">
        <v>-22980</v>
      </c>
      <c r="AD47" s="85">
        <v>-149093</v>
      </c>
      <c r="AE47" s="85">
        <v>-702</v>
      </c>
      <c r="AF47" s="85">
        <v>0</v>
      </c>
      <c r="AG47" s="85">
        <v>-142840</v>
      </c>
      <c r="AH47" s="85">
        <v>-765487</v>
      </c>
      <c r="AI47" s="85">
        <v>-100287</v>
      </c>
      <c r="AJ47" s="85">
        <v>-3659</v>
      </c>
      <c r="AK47" s="85">
        <v>-348</v>
      </c>
      <c r="AL47" s="85">
        <v>0</v>
      </c>
      <c r="AM47" s="86">
        <v>-23733</v>
      </c>
      <c r="AN47" s="87">
        <v>-3260409</v>
      </c>
    </row>
    <row r="48" spans="1:60" x14ac:dyDescent="0.2">
      <c r="A48" s="94" t="s">
        <v>550</v>
      </c>
      <c r="B48" s="95" t="s">
        <v>551</v>
      </c>
      <c r="C48" s="94">
        <v>6142098</v>
      </c>
      <c r="D48" s="104">
        <v>441038</v>
      </c>
      <c r="E48" s="104">
        <v>14249320</v>
      </c>
      <c r="F48" s="104">
        <v>1444296</v>
      </c>
      <c r="G48" s="104">
        <v>4263300</v>
      </c>
      <c r="H48" s="104">
        <v>9374324</v>
      </c>
      <c r="I48" s="104">
        <v>5067863</v>
      </c>
      <c r="J48" s="104">
        <v>5356286</v>
      </c>
      <c r="K48" s="104">
        <v>3063078</v>
      </c>
      <c r="L48" s="104">
        <v>7217467</v>
      </c>
      <c r="M48" s="104">
        <v>2164060</v>
      </c>
      <c r="N48" s="104">
        <v>5266276</v>
      </c>
      <c r="O48" s="104">
        <v>4620389</v>
      </c>
      <c r="P48" s="104">
        <v>7720592</v>
      </c>
      <c r="Q48" s="104">
        <v>2864681</v>
      </c>
      <c r="R48" s="104">
        <v>5101868</v>
      </c>
      <c r="S48" s="104">
        <v>5825197</v>
      </c>
      <c r="T48" s="104">
        <v>1926815</v>
      </c>
      <c r="U48" s="104">
        <v>13427099</v>
      </c>
      <c r="V48" s="104">
        <v>4616786</v>
      </c>
      <c r="W48" s="104">
        <v>28505052</v>
      </c>
      <c r="X48" s="104">
        <v>8816192</v>
      </c>
      <c r="Y48" s="104">
        <v>2268397</v>
      </c>
      <c r="Z48" s="104">
        <v>3243855</v>
      </c>
      <c r="AA48" s="104">
        <v>66727856</v>
      </c>
      <c r="AB48" s="104">
        <v>23942050</v>
      </c>
      <c r="AC48" s="104">
        <v>67883337</v>
      </c>
      <c r="AD48" s="104">
        <v>28341074</v>
      </c>
      <c r="AE48" s="104">
        <v>25803781</v>
      </c>
      <c r="AF48" s="104">
        <v>28147061</v>
      </c>
      <c r="AG48" s="104">
        <v>31959299</v>
      </c>
      <c r="AH48" s="104">
        <v>41923668</v>
      </c>
      <c r="AI48" s="104">
        <v>2660808</v>
      </c>
      <c r="AJ48" s="104">
        <v>46771647</v>
      </c>
      <c r="AK48" s="104">
        <v>29159438</v>
      </c>
      <c r="AL48" s="104">
        <v>0</v>
      </c>
      <c r="AM48" s="95">
        <v>1932366</v>
      </c>
      <c r="AN48" s="105">
        <v>548238714</v>
      </c>
    </row>
    <row r="49" spans="1:40" x14ac:dyDescent="0.2">
      <c r="A49" s="94" t="s">
        <v>519</v>
      </c>
      <c r="B49" s="95" t="s">
        <v>538</v>
      </c>
      <c r="C49" s="94">
        <v>12887622</v>
      </c>
      <c r="D49" s="104">
        <v>847915</v>
      </c>
      <c r="E49" s="104">
        <v>38340649</v>
      </c>
      <c r="F49" s="104">
        <v>3586000</v>
      </c>
      <c r="G49" s="104">
        <v>11953629</v>
      </c>
      <c r="H49" s="104">
        <v>28006932</v>
      </c>
      <c r="I49" s="104">
        <v>16834612</v>
      </c>
      <c r="J49" s="104">
        <v>13997987</v>
      </c>
      <c r="K49" s="104">
        <v>6310618</v>
      </c>
      <c r="L49" s="104">
        <v>27342722</v>
      </c>
      <c r="M49" s="104">
        <v>8806635</v>
      </c>
      <c r="N49" s="104">
        <v>11736949</v>
      </c>
      <c r="O49" s="104">
        <v>10458558</v>
      </c>
      <c r="P49" s="104">
        <v>16704923</v>
      </c>
      <c r="Q49" s="104">
        <v>6903300</v>
      </c>
      <c r="R49" s="104">
        <v>13536084</v>
      </c>
      <c r="S49" s="104">
        <v>16062710</v>
      </c>
      <c r="T49" s="104">
        <v>5456460</v>
      </c>
      <c r="U49" s="104">
        <v>55377713</v>
      </c>
      <c r="V49" s="104">
        <v>9929313</v>
      </c>
      <c r="W49" s="104">
        <v>60836569</v>
      </c>
      <c r="X49" s="104">
        <v>24633709</v>
      </c>
      <c r="Y49" s="104">
        <v>4545590</v>
      </c>
      <c r="Z49" s="104">
        <v>4901980</v>
      </c>
      <c r="AA49" s="104">
        <v>95478881</v>
      </c>
      <c r="AB49" s="104">
        <v>35448224</v>
      </c>
      <c r="AC49" s="104">
        <v>80718943</v>
      </c>
      <c r="AD49" s="104">
        <v>55009418</v>
      </c>
      <c r="AE49" s="104">
        <v>49974511</v>
      </c>
      <c r="AF49" s="104">
        <v>39739035</v>
      </c>
      <c r="AG49" s="104">
        <v>43680514</v>
      </c>
      <c r="AH49" s="104">
        <v>67586805</v>
      </c>
      <c r="AI49" s="104">
        <v>4431793</v>
      </c>
      <c r="AJ49" s="104">
        <v>74788605</v>
      </c>
      <c r="AK49" s="104">
        <v>54806089</v>
      </c>
      <c r="AL49" s="104">
        <v>1463403</v>
      </c>
      <c r="AM49" s="95">
        <v>4692988</v>
      </c>
      <c r="AN49" s="105">
        <v>1017818388</v>
      </c>
    </row>
    <row r="51" spans="1:40" x14ac:dyDescent="0.2">
      <c r="C51" s="106">
        <f>C43/C49</f>
        <v>0.11591983377538541</v>
      </c>
      <c r="D51" s="106">
        <f t="shared" ref="D51:AM51" si="1">D43/D49</f>
        <v>0.20524816756396572</v>
      </c>
      <c r="E51" s="106">
        <f t="shared" si="1"/>
        <v>0.13096178940528627</v>
      </c>
      <c r="F51" s="106">
        <f t="shared" si="1"/>
        <v>0.25378611266034579</v>
      </c>
      <c r="G51" s="106">
        <f t="shared" si="1"/>
        <v>0.16585908764610313</v>
      </c>
      <c r="H51" s="106">
        <f t="shared" si="1"/>
        <v>8.916878150023716E-2</v>
      </c>
      <c r="I51" s="106">
        <f t="shared" si="1"/>
        <v>1.1611969435351406E-2</v>
      </c>
      <c r="J51" s="106">
        <f t="shared" si="1"/>
        <v>0.22507057621928067</v>
      </c>
      <c r="K51" s="106">
        <f t="shared" si="1"/>
        <v>0.22437358749967118</v>
      </c>
      <c r="L51" s="106">
        <f t="shared" si="1"/>
        <v>5.9997903646900989E-2</v>
      </c>
      <c r="M51" s="106">
        <f t="shared" si="1"/>
        <v>0.10089767544584283</v>
      </c>
      <c r="N51" s="106">
        <f t="shared" si="1"/>
        <v>0.28699281218654016</v>
      </c>
      <c r="O51" s="106">
        <f t="shared" si="1"/>
        <v>0.22912967542944257</v>
      </c>
      <c r="P51" s="106">
        <f t="shared" si="1"/>
        <v>0.23865054630901322</v>
      </c>
      <c r="Q51" s="106">
        <f t="shared" si="1"/>
        <v>0.20197007228426983</v>
      </c>
      <c r="R51" s="106">
        <f t="shared" si="1"/>
        <v>0.20364981482088912</v>
      </c>
      <c r="S51" s="106">
        <f t="shared" si="1"/>
        <v>0.19356210751485894</v>
      </c>
      <c r="T51" s="106">
        <f t="shared" si="1"/>
        <v>0.19139203806130714</v>
      </c>
      <c r="U51" s="106">
        <f t="shared" si="1"/>
        <v>0.12848876586868077</v>
      </c>
      <c r="V51" s="106">
        <f t="shared" si="1"/>
        <v>0.25631833743180421</v>
      </c>
      <c r="W51" s="106">
        <f t="shared" si="1"/>
        <v>0.349486211163552</v>
      </c>
      <c r="X51" s="106">
        <f t="shared" si="1"/>
        <v>7.8695985245258851E-2</v>
      </c>
      <c r="Y51" s="106">
        <f t="shared" si="1"/>
        <v>0.14353648261281815</v>
      </c>
      <c r="Z51" s="106">
        <f t="shared" si="1"/>
        <v>0.48025920138393058</v>
      </c>
      <c r="AA51" s="106">
        <f t="shared" si="1"/>
        <v>0.38980714489102569</v>
      </c>
      <c r="AB51" s="106">
        <f t="shared" si="1"/>
        <v>0.31206138846335435</v>
      </c>
      <c r="AC51" s="106">
        <f t="shared" si="1"/>
        <v>5.7877430332555269E-2</v>
      </c>
      <c r="AD51" s="106">
        <f t="shared" si="1"/>
        <v>0.28331021426185604</v>
      </c>
      <c r="AE51" s="106">
        <f t="shared" si="1"/>
        <v>0.21011199089071628</v>
      </c>
      <c r="AF51" s="106">
        <f t="shared" si="1"/>
        <v>0.3604440067555742</v>
      </c>
      <c r="AG51" s="106">
        <f t="shared" si="1"/>
        <v>0.50809225825501958</v>
      </c>
      <c r="AH51" s="106">
        <f t="shared" si="1"/>
        <v>0.50572540009843636</v>
      </c>
      <c r="AI51" s="106">
        <f t="shared" si="1"/>
        <v>0.4967028017779711</v>
      </c>
      <c r="AJ51" s="106">
        <f t="shared" si="1"/>
        <v>0.34422469840158137</v>
      </c>
      <c r="AK51" s="106">
        <f t="shared" si="1"/>
        <v>0.26942710690412519</v>
      </c>
      <c r="AL51" s="106">
        <f t="shared" si="1"/>
        <v>0</v>
      </c>
      <c r="AM51" s="106">
        <f t="shared" si="1"/>
        <v>1.2664213077041749E-2</v>
      </c>
    </row>
  </sheetData>
  <mergeCells count="1">
    <mergeCell ref="C1:H1"/>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vt:i4>
      </vt:variant>
    </vt:vector>
  </HeadingPairs>
  <TitlesOfParts>
    <vt:vector size="19" baseType="lpstr">
      <vt:lpstr>0_経済波及効果算出ツールの使い方・留意点</vt:lpstr>
      <vt:lpstr>1_採択区分・推計パターン選択</vt:lpstr>
      <vt:lpstr>2_主催・共催型</vt:lpstr>
      <vt:lpstr>2_イノベーション型</vt:lpstr>
      <vt:lpstr>2_文化資源</vt:lpstr>
      <vt:lpstr>2_国際フェスティバル</vt:lpstr>
      <vt:lpstr>2_地域ゆかり</vt:lpstr>
      <vt:lpstr>3_パターン①</vt:lpstr>
      <vt:lpstr>3_パターン②</vt:lpstr>
      <vt:lpstr>3_パターン③</vt:lpstr>
      <vt:lpstr>4_推計結果</vt:lpstr>
      <vt:lpstr>（計算用1）</vt:lpstr>
      <vt:lpstr>（計算用2）</vt:lpstr>
      <vt:lpstr>（リスト用）</vt:lpstr>
      <vt:lpstr>（入込数）</vt:lpstr>
      <vt:lpstr>（消費内訳）</vt:lpstr>
      <vt:lpstr>（逆行列関数表）</vt:lpstr>
      <vt:lpstr>（取引基本表）</vt:lpstr>
      <vt:lpstr>'（消費内訳）'!Print_Area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PAC</dc:creator>
  <cp:lastModifiedBy>sudo daisuke</cp:lastModifiedBy>
  <dcterms:created xsi:type="dcterms:W3CDTF">2022-11-11T03:02:22Z</dcterms:created>
  <dcterms:modified xsi:type="dcterms:W3CDTF">2022-12-21T10:27:26Z</dcterms:modified>
</cp:coreProperties>
</file>